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worksheets/sheet9.xml" ContentType="application/vnd.openxmlformats-officedocument.spreadsheetml.worksheet+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3.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style4.xml" ContentType="application/vnd.ms-office.chartstyle+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externalLinks/externalLink2.xml" ContentType="application/vnd.openxmlformats-officedocument.spreadsheetml.externalLink+xml"/>
  <Override PartName="/xl/externalLinks/externalLink1.xml" ContentType="application/vnd.openxmlformats-officedocument.spreadsheetml.externalLink+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codeName="ThisWorkbook"/>
  <mc:AlternateContent xmlns:mc="http://schemas.openxmlformats.org/markup-compatibility/2006">
    <mc:Choice Requires="x15">
      <x15ac:absPath xmlns:x15ac="http://schemas.microsoft.com/office/spreadsheetml/2010/11/ac" url="https://levaud.sharepoint.com/sites/DATA/Documents partages/1-ADMINISTRATION GENERALE/14-INTERETS GENERAUX/14.01-Promotion de la commune/Site Internet/"/>
    </mc:Choice>
  </mc:AlternateContent>
  <xr:revisionPtr revIDLastSave="0" documentId="8_{3426E7D6-211E-4F39-89A9-0E81CE94BFDD}" xr6:coauthVersionLast="47" xr6:coauthVersionMax="47" xr10:uidLastSave="{00000000-0000-0000-0000-000000000000}"/>
  <workbookProtection workbookAlgorithmName="SHA-512" workbookHashValue="Quac7CuxALVmoS0ATjCqaPeaZm4IFtI96EiX+53GXwrxpM735J/gXb3cSfs4l+jQpCv8mnozySgGWYpBpSewaA==" workbookSaltValue="YE8dLc2FF/1da3mWrryZIQ==" workbookSpinCount="100000" lockStructure="1"/>
  <bookViews>
    <workbookView xWindow="-120" yWindow="-120" windowWidth="25440" windowHeight="15390" firstSheet="7" xr2:uid="{C3B5D925-95CA-114C-9A97-E51B8B349277}"/>
  </bookViews>
  <sheets>
    <sheet name="Introduction" sheetId="7" r:id="rId1"/>
    <sheet name="Données générales" sheetId="8" r:id="rId2"/>
    <sheet name="Données Territoire" sheetId="1" r:id="rId3"/>
    <sheet name="Résultats Territoire" sheetId="4" r:id="rId4"/>
    <sheet name="Méthodologie Territoire" sheetId="22" r:id="rId5"/>
    <sheet name="Données Administration" sheetId="3" r:id="rId6"/>
    <sheet name="Résultats Administration" sheetId="2" r:id="rId7"/>
    <sheet name="Consommation" sheetId="12" state="hidden" r:id="rId8"/>
    <sheet name="MRMT - Données" sheetId="13" state="hidden" r:id="rId9"/>
    <sheet name="Listes" sheetId="17" state="hidden" r:id="rId10"/>
    <sheet name="Energie" sheetId="21" state="hidden" r:id="rId11"/>
    <sheet name="Méthodologie Administration" sheetId="23" r:id="rId12"/>
    <sheet name="Facteurs d'émissions" sheetId="15" r:id="rId13"/>
    <sheet name="Données communales" sheetId="18" state="hidden" r:id="rId14"/>
  </sheets>
  <externalReferences>
    <externalReference r:id="rId15"/>
    <externalReference r:id="rId16"/>
  </externalReferences>
  <definedNames>
    <definedName name="_ftn1" localSheetId="11">'Méthodologie Administration'!#REF!</definedName>
    <definedName name="_ftnref1" localSheetId="11">'Méthodologie Administration'!#REF!</definedName>
    <definedName name="Année" localSheetId="7">'[1]Données générales'!$C$6</definedName>
    <definedName name="Année" localSheetId="13">'[1]Données générales'!$C$6</definedName>
    <definedName name="Année" localSheetId="12">'[1]Données générales'!$C$6</definedName>
    <definedName name="Année" localSheetId="11">'[2]Données générales'!$C$6</definedName>
    <definedName name="Année" localSheetId="8">'[1]Données générales'!$C$6</definedName>
    <definedName name="Année">'Données générales'!$C$6</definedName>
    <definedName name="Commune" localSheetId="7">'[1]Données générales'!$C$8</definedName>
    <definedName name="Commune" localSheetId="13">'[1]Données générales'!$C$8</definedName>
    <definedName name="Commune" localSheetId="12">'[1]Données générales'!$C$8</definedName>
    <definedName name="Commune" localSheetId="11">'[2]Données générales'!$C$8</definedName>
    <definedName name="Commune" localSheetId="8">'[1]Données générales'!$C$8</definedName>
    <definedName name="Commune">'Données générales'!$C$8</definedName>
    <definedName name="Consommation_eaux_usées">Consommation!$B$17</definedName>
    <definedName name="Déchets" localSheetId="7">#REF!</definedName>
    <definedName name="Déchets" localSheetId="13">#REF!</definedName>
    <definedName name="Déchets" localSheetId="12">#REF!</definedName>
    <definedName name="Déchets" localSheetId="8">#REF!</definedName>
    <definedName name="données_communales" localSheetId="7">'[1]Données communales'!$A$1:$AJ$48</definedName>
    <definedName name="données_communales" localSheetId="12">'[1]Données communales'!$A$1:$AJ$48</definedName>
    <definedName name="données_communales" localSheetId="8">'[1]Données communales'!$A$1:$AJ$48</definedName>
    <definedName name="Données_Commune" localSheetId="13">'Données communales'!$A:$O</definedName>
    <definedName name="Données_Commune">'Données communales'!$B:$P</definedName>
    <definedName name="EF_Table" localSheetId="7">'[1]Facteurs d''émissions'!$C:$G</definedName>
    <definedName name="EF_Table" localSheetId="13">'[1]Facteurs d''émissions'!$C:$G</definedName>
    <definedName name="EF_Table" localSheetId="12">'Facteurs d''émissions'!$C:$G</definedName>
    <definedName name="EF_Table" localSheetId="11">'[2]Facteurs d''émissions'!$C:$G</definedName>
    <definedName name="EF_Table" localSheetId="8">'[1]Facteurs d''émissions'!$C:$G</definedName>
    <definedName name="EF_Table">'Facteurs d''émissions'!$C:$G</definedName>
    <definedName name="ELEC_TABLE" localSheetId="7">'[1]SIG - Électricité'!$A:$E</definedName>
    <definedName name="ELEC_TABLE" localSheetId="13">'[1]SIG - Électricité'!$A:$E</definedName>
    <definedName name="ELEC_TABLE" localSheetId="12">'[1]SIG - Électricité'!$A:$E</definedName>
    <definedName name="ELEC_TABLE" localSheetId="8">'[1]SIG - Électricité'!$A:$E</definedName>
    <definedName name="Employés_com" localSheetId="7">'[1]Données générales'!$C$20</definedName>
    <definedName name="Employés_com" localSheetId="13">'[1]Données générales'!$C$20</definedName>
    <definedName name="Employés_com" localSheetId="12">'[1]Données générales'!$C$20</definedName>
    <definedName name="Employés_com" localSheetId="11">'[2]Données générales'!$C$20</definedName>
    <definedName name="Employés_com" localSheetId="8">'[1]Données générales'!$C$20</definedName>
    <definedName name="Employés_com">'Données générales'!$C$22</definedName>
    <definedName name="Frontaliers">'Données générales'!$C$18</definedName>
    <definedName name="hab_actifs" localSheetId="7">'[1]Données générales'!$C$14</definedName>
    <definedName name="hab_actifs" localSheetId="13">'[1]Données générales'!$C$14</definedName>
    <definedName name="hab_actifs" localSheetId="12">'[1]Données générales'!$C$14</definedName>
    <definedName name="hab_actifs" localSheetId="11">'[2]Données générales'!$C$14</definedName>
    <definedName name="hab_actifs" localSheetId="8">'[1]Données générales'!$C$14</definedName>
    <definedName name="hab_actifs">'Données générales'!$C$16</definedName>
    <definedName name="hab_commune" localSheetId="7">'[1]Données générales'!$C$12</definedName>
    <definedName name="hab_commune" localSheetId="13">'[1]Données générales'!$C$12</definedName>
    <definedName name="hab_commune" localSheetId="12">'[1]Données générales'!$C$12</definedName>
    <definedName name="hab_commune" localSheetId="11">'[2]Données générales'!$C$12</definedName>
    <definedName name="hab_commune" localSheetId="8">'[1]Données générales'!$C$12</definedName>
    <definedName name="hab_commune">'Données générales'!$C$12</definedName>
    <definedName name="Hab_MRMT">'Données générales'!$C$16</definedName>
    <definedName name="Numéro_OFS">'Données générales'!$C$9</definedName>
    <definedName name="Pendulaires_CH">'Données générales'!$C$20</definedName>
    <definedName name="population">'Données générales'!$C$12</definedName>
    <definedName name="surface_agri" localSheetId="13">'Données communales'!$E$2:$F$7</definedName>
    <definedName name="Travailleurs_frontaliers" localSheetId="7">'[1]Données générales'!$C$16</definedName>
    <definedName name="Travailleurs_frontaliers" localSheetId="13">'[1]Données générales'!$C$16</definedName>
    <definedName name="Travailleurs_frontaliers" localSheetId="12">'[1]Données générales'!$C$16</definedName>
    <definedName name="Travailleurs_frontaliers" localSheetId="8">'[1]Données générales'!$C$16</definedName>
    <definedName name="Travailleurs_pendulaires_suisses" localSheetId="7">'[1]Données générales'!$C$18</definedName>
    <definedName name="Travailleurs_pendulaires_suisses" localSheetId="13">'[1]Données générales'!$C$18</definedName>
    <definedName name="Travailleurs_pendulaires_suisses" localSheetId="12">'[1]Données générales'!$C$18</definedName>
    <definedName name="Travailleurs_pendulaires_suisses" localSheetId="8">'[1]Données générales'!$C$18</definedName>
    <definedName name="Typologie">'Données générales'!$C$10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6" i="3" l="1"/>
  <c r="E13" i="1" l="1"/>
  <c r="G65" i="3"/>
  <c r="G11" i="3"/>
  <c r="G9" i="3"/>
  <c r="G21" i="3"/>
  <c r="K97" i="3" l="1"/>
  <c r="L97" i="3"/>
  <c r="M97" i="3"/>
  <c r="A3651" i="21"/>
  <c r="A3652" i="21"/>
  <c r="A3653" i="21"/>
  <c r="A3654" i="21"/>
  <c r="A3655" i="21"/>
  <c r="A3656" i="21"/>
  <c r="A3657" i="21"/>
  <c r="A3658" i="21"/>
  <c r="A1123" i="21"/>
  <c r="A1124" i="21"/>
  <c r="A1125" i="21"/>
  <c r="A1126" i="21"/>
  <c r="A1127" i="21"/>
  <c r="A1128" i="21"/>
  <c r="A1129" i="21"/>
  <c r="A1130" i="21"/>
  <c r="D49" i="4"/>
  <c r="E52" i="4"/>
  <c r="G107" i="3"/>
  <c r="G108" i="3"/>
  <c r="G106" i="3"/>
  <c r="L115" i="1"/>
  <c r="L107" i="3" s="1"/>
  <c r="L116" i="1"/>
  <c r="L108" i="3" s="1"/>
  <c r="L114" i="1"/>
  <c r="L106" i="3" s="1"/>
  <c r="L113" i="1" l="1"/>
  <c r="E102" i="15"/>
  <c r="K116" i="1" l="1"/>
  <c r="K108" i="3" s="1"/>
  <c r="K114" i="1"/>
  <c r="K115" i="1"/>
  <c r="K107" i="3" s="1"/>
  <c r="B50" i="4"/>
  <c r="K106" i="3" l="1"/>
  <c r="K113" i="1"/>
  <c r="K94" i="3"/>
  <c r="L94" i="3"/>
  <c r="M94" i="3"/>
  <c r="K95" i="3"/>
  <c r="L95" i="3"/>
  <c r="M95" i="3"/>
  <c r="K96" i="3"/>
  <c r="L96" i="3"/>
  <c r="M96" i="3"/>
  <c r="L93" i="3"/>
  <c r="K93" i="3"/>
  <c r="K86" i="3"/>
  <c r="L86" i="3"/>
  <c r="M86" i="3"/>
  <c r="K87" i="3"/>
  <c r="L87" i="3"/>
  <c r="M87" i="3"/>
  <c r="K88" i="3"/>
  <c r="L88" i="3"/>
  <c r="M88" i="3"/>
  <c r="K89" i="3"/>
  <c r="L89" i="3"/>
  <c r="M89" i="3"/>
  <c r="K90" i="3"/>
  <c r="L90" i="3"/>
  <c r="M85" i="3"/>
  <c r="L85" i="3"/>
  <c r="K85" i="3"/>
  <c r="G79" i="3"/>
  <c r="L100" i="3"/>
  <c r="D32" i="2" s="1"/>
  <c r="G1" i="3"/>
  <c r="K72" i="3"/>
  <c r="L72" i="3"/>
  <c r="M72" i="3"/>
  <c r="H29" i="3"/>
  <c r="J29" i="3" s="1"/>
  <c r="H17" i="3"/>
  <c r="J17" i="3" s="1"/>
  <c r="L92" i="3" l="1"/>
  <c r="K92" i="3"/>
  <c r="K17" i="3"/>
  <c r="L17" i="3"/>
  <c r="M17" i="3"/>
  <c r="K29" i="3"/>
  <c r="L29" i="3"/>
  <c r="M29" i="3"/>
  <c r="F119" i="15" l="1"/>
  <c r="E119" i="15"/>
  <c r="G120" i="15"/>
  <c r="G118" i="15"/>
  <c r="G119" i="15" l="1"/>
  <c r="J40" i="4"/>
  <c r="J41" i="4"/>
  <c r="J42" i="4"/>
  <c r="J43" i="4"/>
  <c r="J44" i="4"/>
  <c r="J45" i="4"/>
  <c r="J46" i="4"/>
  <c r="J47" i="4"/>
  <c r="J48" i="4"/>
  <c r="J49" i="4"/>
  <c r="J50" i="4"/>
  <c r="J51" i="4"/>
  <c r="J39" i="4"/>
  <c r="E57" i="15" l="1"/>
  <c r="F57" i="15"/>
  <c r="G57" i="15"/>
  <c r="E58" i="15"/>
  <c r="F58" i="15"/>
  <c r="G58" i="15"/>
  <c r="E59" i="15"/>
  <c r="F59" i="15"/>
  <c r="G59" i="15"/>
  <c r="E60" i="15"/>
  <c r="F60" i="15"/>
  <c r="G60" i="15"/>
  <c r="E61" i="15"/>
  <c r="F61" i="15"/>
  <c r="G61" i="15"/>
  <c r="E62" i="15"/>
  <c r="F62" i="15"/>
  <c r="G62" i="15"/>
  <c r="E63" i="15"/>
  <c r="F63" i="15"/>
  <c r="G63" i="15"/>
  <c r="E64" i="15"/>
  <c r="F64" i="15"/>
  <c r="G64" i="15"/>
  <c r="E65" i="15"/>
  <c r="F65" i="15"/>
  <c r="G65" i="15"/>
  <c r="E66" i="15"/>
  <c r="F66" i="15"/>
  <c r="G66" i="15"/>
  <c r="E67" i="15"/>
  <c r="F67" i="15"/>
  <c r="G67" i="15"/>
  <c r="E68" i="15"/>
  <c r="F68" i="15"/>
  <c r="G68" i="15"/>
  <c r="F56" i="15"/>
  <c r="G56" i="15"/>
  <c r="E56" i="15"/>
  <c r="J52" i="4" l="1"/>
  <c r="J78" i="1"/>
  <c r="J73" i="1" l="1"/>
  <c r="K73" i="1" s="1"/>
  <c r="K43" i="4" s="1"/>
  <c r="E8" i="15"/>
  <c r="E20" i="15" s="1"/>
  <c r="M73" i="1" l="1"/>
  <c r="L73" i="1"/>
  <c r="G10" i="15"/>
  <c r="G20" i="15"/>
  <c r="A3" i="21"/>
  <c r="A4" i="21"/>
  <c r="A5" i="21"/>
  <c r="A6" i="21"/>
  <c r="A7" i="21"/>
  <c r="A8" i="21"/>
  <c r="A9" i="21"/>
  <c r="A10" i="21"/>
  <c r="A11" i="21"/>
  <c r="A12" i="21"/>
  <c r="A13" i="21"/>
  <c r="A14" i="21"/>
  <c r="A15" i="21"/>
  <c r="A16" i="21"/>
  <c r="A17" i="21"/>
  <c r="A18" i="21"/>
  <c r="A19" i="21"/>
  <c r="A20" i="21"/>
  <c r="A21" i="21"/>
  <c r="A22" i="21"/>
  <c r="A23" i="21"/>
  <c r="A24" i="21"/>
  <c r="A25" i="21"/>
  <c r="A26" i="21"/>
  <c r="A27" i="21"/>
  <c r="A28" i="21"/>
  <c r="A29" i="21"/>
  <c r="A30" i="21"/>
  <c r="A31" i="21"/>
  <c r="A32" i="21"/>
  <c r="A33" i="21"/>
  <c r="A34" i="21"/>
  <c r="A35" i="21"/>
  <c r="A36" i="21"/>
  <c r="A37" i="21"/>
  <c r="A38" i="21"/>
  <c r="A39" i="21"/>
  <c r="A40" i="21"/>
  <c r="A41" i="21"/>
  <c r="A42" i="21"/>
  <c r="A43" i="21"/>
  <c r="A44" i="21"/>
  <c r="A45" i="21"/>
  <c r="A46" i="21"/>
  <c r="A47" i="21"/>
  <c r="A48" i="21"/>
  <c r="A49" i="21"/>
  <c r="A50" i="21"/>
  <c r="A51" i="21"/>
  <c r="A52" i="21"/>
  <c r="A53" i="21"/>
  <c r="A54" i="21"/>
  <c r="A55" i="21"/>
  <c r="A56" i="21"/>
  <c r="A57" i="21"/>
  <c r="A58" i="21"/>
  <c r="A59" i="21"/>
  <c r="A60" i="21"/>
  <c r="A61" i="21"/>
  <c r="A62" i="21"/>
  <c r="A63" i="21"/>
  <c r="A64" i="21"/>
  <c r="A65" i="21"/>
  <c r="A66" i="21"/>
  <c r="A67" i="21"/>
  <c r="A68" i="21"/>
  <c r="A69" i="21"/>
  <c r="A70" i="21"/>
  <c r="A71" i="21"/>
  <c r="A72" i="21"/>
  <c r="A73" i="21"/>
  <c r="A74" i="21"/>
  <c r="A75" i="21"/>
  <c r="A76" i="21"/>
  <c r="A77" i="21"/>
  <c r="A78" i="21"/>
  <c r="A79" i="21"/>
  <c r="A80" i="21"/>
  <c r="A81" i="21"/>
  <c r="A82" i="21"/>
  <c r="A83" i="21"/>
  <c r="A84" i="21"/>
  <c r="A85" i="21"/>
  <c r="A86" i="21"/>
  <c r="A87" i="21"/>
  <c r="A88" i="21"/>
  <c r="A89" i="21"/>
  <c r="A90" i="21"/>
  <c r="A91" i="21"/>
  <c r="A92" i="21"/>
  <c r="A93" i="21"/>
  <c r="A94" i="21"/>
  <c r="A95" i="21"/>
  <c r="A96" i="21"/>
  <c r="A97" i="21"/>
  <c r="A98" i="21"/>
  <c r="A99" i="21"/>
  <c r="A100" i="21"/>
  <c r="A101" i="21"/>
  <c r="A102" i="21"/>
  <c r="A103" i="21"/>
  <c r="A104" i="21"/>
  <c r="A105" i="21"/>
  <c r="A106" i="21"/>
  <c r="A107" i="21"/>
  <c r="A108" i="21"/>
  <c r="A109" i="21"/>
  <c r="A110" i="21"/>
  <c r="A111" i="21"/>
  <c r="A112" i="21"/>
  <c r="A113" i="21"/>
  <c r="A114" i="21"/>
  <c r="A115" i="21"/>
  <c r="A116" i="21"/>
  <c r="A117" i="21"/>
  <c r="A118" i="21"/>
  <c r="A119" i="21"/>
  <c r="A120" i="21"/>
  <c r="A121" i="21"/>
  <c r="A122" i="21"/>
  <c r="A123" i="21"/>
  <c r="A124" i="21"/>
  <c r="A125" i="21"/>
  <c r="A126" i="21"/>
  <c r="A127" i="21"/>
  <c r="A128" i="21"/>
  <c r="A129" i="21"/>
  <c r="A130" i="21"/>
  <c r="A131" i="21"/>
  <c r="A132" i="21"/>
  <c r="A133" i="21"/>
  <c r="A134" i="21"/>
  <c r="A135" i="21"/>
  <c r="A136" i="21"/>
  <c r="A137" i="21"/>
  <c r="A138" i="21"/>
  <c r="A139" i="21"/>
  <c r="A140" i="21"/>
  <c r="A141" i="21"/>
  <c r="A142" i="21"/>
  <c r="A143" i="21"/>
  <c r="A144" i="21"/>
  <c r="A145" i="21"/>
  <c r="A146" i="21"/>
  <c r="A147" i="21"/>
  <c r="A148" i="21"/>
  <c r="A149" i="21"/>
  <c r="A150" i="21"/>
  <c r="A151" i="21"/>
  <c r="A152" i="21"/>
  <c r="A153" i="21"/>
  <c r="A154" i="21"/>
  <c r="A155" i="21"/>
  <c r="A156" i="21"/>
  <c r="A157" i="21"/>
  <c r="A158" i="21"/>
  <c r="A159" i="21"/>
  <c r="A160" i="21"/>
  <c r="A161" i="21"/>
  <c r="A162" i="21"/>
  <c r="A163" i="21"/>
  <c r="A164" i="21"/>
  <c r="A165" i="21"/>
  <c r="A166" i="21"/>
  <c r="A167" i="21"/>
  <c r="A168" i="21"/>
  <c r="A169" i="21"/>
  <c r="A170" i="21"/>
  <c r="A171" i="21"/>
  <c r="A172" i="21"/>
  <c r="A173" i="21"/>
  <c r="A174" i="21"/>
  <c r="A175" i="21"/>
  <c r="A176" i="21"/>
  <c r="A177" i="21"/>
  <c r="A178" i="21"/>
  <c r="A179" i="21"/>
  <c r="A180" i="21"/>
  <c r="A181" i="21"/>
  <c r="A182" i="21"/>
  <c r="A183" i="21"/>
  <c r="A184" i="21"/>
  <c r="A185" i="21"/>
  <c r="A186" i="21"/>
  <c r="A187" i="21"/>
  <c r="A188" i="21"/>
  <c r="A189" i="21"/>
  <c r="A190" i="21"/>
  <c r="A191" i="21"/>
  <c r="A192" i="21"/>
  <c r="A193" i="21"/>
  <c r="A194" i="21"/>
  <c r="A195" i="21"/>
  <c r="A196" i="21"/>
  <c r="A197" i="21"/>
  <c r="A198" i="21"/>
  <c r="A199" i="21"/>
  <c r="A200" i="21"/>
  <c r="A201" i="21"/>
  <c r="A202" i="21"/>
  <c r="A203" i="21"/>
  <c r="A204" i="21"/>
  <c r="A205" i="21"/>
  <c r="A206" i="21"/>
  <c r="A207" i="21"/>
  <c r="A208" i="21"/>
  <c r="A209" i="21"/>
  <c r="A210" i="21"/>
  <c r="A211" i="21"/>
  <c r="A212" i="21"/>
  <c r="A213" i="21"/>
  <c r="A214" i="21"/>
  <c r="A215" i="21"/>
  <c r="A216" i="21"/>
  <c r="A217" i="21"/>
  <c r="A218" i="21"/>
  <c r="A219" i="21"/>
  <c r="A220" i="21"/>
  <c r="A221" i="21"/>
  <c r="A222" i="21"/>
  <c r="A223" i="21"/>
  <c r="A224" i="21"/>
  <c r="A225" i="21"/>
  <c r="A226" i="21"/>
  <c r="A227" i="21"/>
  <c r="A228" i="21"/>
  <c r="A229" i="21"/>
  <c r="A230" i="21"/>
  <c r="A231" i="21"/>
  <c r="A232" i="21"/>
  <c r="A233" i="21"/>
  <c r="A234" i="21"/>
  <c r="A235" i="21"/>
  <c r="A236" i="21"/>
  <c r="A237" i="21"/>
  <c r="A238" i="21"/>
  <c r="A239" i="21"/>
  <c r="A240" i="21"/>
  <c r="A241" i="21"/>
  <c r="A242" i="21"/>
  <c r="A243" i="21"/>
  <c r="A244" i="21"/>
  <c r="A245" i="21"/>
  <c r="A246" i="21"/>
  <c r="A247" i="21"/>
  <c r="A248" i="21"/>
  <c r="A249" i="21"/>
  <c r="A250" i="21"/>
  <c r="A251" i="21"/>
  <c r="A252" i="21"/>
  <c r="A253" i="21"/>
  <c r="A254" i="21"/>
  <c r="A255" i="21"/>
  <c r="A256" i="21"/>
  <c r="A257" i="21"/>
  <c r="A258" i="21"/>
  <c r="A259" i="21"/>
  <c r="A260" i="21"/>
  <c r="A261" i="21"/>
  <c r="A262" i="21"/>
  <c r="A263" i="21"/>
  <c r="A264" i="21"/>
  <c r="A265" i="21"/>
  <c r="A266" i="21"/>
  <c r="A267" i="21"/>
  <c r="A268" i="21"/>
  <c r="A269" i="21"/>
  <c r="A270" i="21"/>
  <c r="A271" i="21"/>
  <c r="A272" i="21"/>
  <c r="A273" i="21"/>
  <c r="A274" i="21"/>
  <c r="A275" i="21"/>
  <c r="A276" i="21"/>
  <c r="A277" i="21"/>
  <c r="A278" i="21"/>
  <c r="A279" i="21"/>
  <c r="A280" i="21"/>
  <c r="A281" i="21"/>
  <c r="A282" i="21"/>
  <c r="A283" i="21"/>
  <c r="A284" i="21"/>
  <c r="A285" i="21"/>
  <c r="A286" i="21"/>
  <c r="A287" i="21"/>
  <c r="A288" i="21"/>
  <c r="A289" i="21"/>
  <c r="A290" i="21"/>
  <c r="A291" i="21"/>
  <c r="A292" i="21"/>
  <c r="A293" i="21"/>
  <c r="A294" i="21"/>
  <c r="A295" i="21"/>
  <c r="A296" i="21"/>
  <c r="A297" i="21"/>
  <c r="A298" i="21"/>
  <c r="A299" i="21"/>
  <c r="A300" i="21"/>
  <c r="A301" i="21"/>
  <c r="A302" i="21"/>
  <c r="A303" i="21"/>
  <c r="A304" i="21"/>
  <c r="A305" i="21"/>
  <c r="A306" i="21"/>
  <c r="A307" i="21"/>
  <c r="A308" i="21"/>
  <c r="A309" i="21"/>
  <c r="A310" i="21"/>
  <c r="A311" i="21"/>
  <c r="A312" i="21"/>
  <c r="A313" i="21"/>
  <c r="A314" i="21"/>
  <c r="A315" i="21"/>
  <c r="A316" i="21"/>
  <c r="A317" i="21"/>
  <c r="A318" i="21"/>
  <c r="A319" i="21"/>
  <c r="A320" i="21"/>
  <c r="A321" i="21"/>
  <c r="A322" i="21"/>
  <c r="A323" i="21"/>
  <c r="A324" i="21"/>
  <c r="A325" i="21"/>
  <c r="A326" i="21"/>
  <c r="A327" i="21"/>
  <c r="A328" i="21"/>
  <c r="A329" i="21"/>
  <c r="A330" i="21"/>
  <c r="A331" i="21"/>
  <c r="A332" i="21"/>
  <c r="A333" i="21"/>
  <c r="A334" i="21"/>
  <c r="A335" i="21"/>
  <c r="A336" i="21"/>
  <c r="A337" i="21"/>
  <c r="A338" i="21"/>
  <c r="A339" i="21"/>
  <c r="A340" i="21"/>
  <c r="A341" i="21"/>
  <c r="A342" i="21"/>
  <c r="A343" i="21"/>
  <c r="A344" i="21"/>
  <c r="A345" i="21"/>
  <c r="A346" i="21"/>
  <c r="A347" i="21"/>
  <c r="A348" i="21"/>
  <c r="A349" i="21"/>
  <c r="A350" i="21"/>
  <c r="A351" i="21"/>
  <c r="A352" i="21"/>
  <c r="A353" i="21"/>
  <c r="A354" i="21"/>
  <c r="A355" i="21"/>
  <c r="A356" i="21"/>
  <c r="A357" i="21"/>
  <c r="A358" i="21"/>
  <c r="A359" i="21"/>
  <c r="A360" i="21"/>
  <c r="A361" i="21"/>
  <c r="A362" i="21"/>
  <c r="A363" i="21"/>
  <c r="A364" i="21"/>
  <c r="A365" i="21"/>
  <c r="A366" i="21"/>
  <c r="A367" i="21"/>
  <c r="A368" i="21"/>
  <c r="A369" i="21"/>
  <c r="A370" i="21"/>
  <c r="A371" i="21"/>
  <c r="A372" i="21"/>
  <c r="A373" i="21"/>
  <c r="A374" i="21"/>
  <c r="A375" i="21"/>
  <c r="A376" i="21"/>
  <c r="A377" i="21"/>
  <c r="A378" i="21"/>
  <c r="A379" i="21"/>
  <c r="A380" i="21"/>
  <c r="A381" i="21"/>
  <c r="A382" i="21"/>
  <c r="A383" i="21"/>
  <c r="A384" i="21"/>
  <c r="A385" i="21"/>
  <c r="A386" i="21"/>
  <c r="A387" i="21"/>
  <c r="A388" i="21"/>
  <c r="A389" i="21"/>
  <c r="A390" i="21"/>
  <c r="A391" i="21"/>
  <c r="A392" i="21"/>
  <c r="A393" i="21"/>
  <c r="A394" i="21"/>
  <c r="A395" i="21"/>
  <c r="A396" i="21"/>
  <c r="A397" i="21"/>
  <c r="A398" i="21"/>
  <c r="A399" i="21"/>
  <c r="A400" i="21"/>
  <c r="A401" i="21"/>
  <c r="A402" i="21"/>
  <c r="A403" i="21"/>
  <c r="A404" i="21"/>
  <c r="A405" i="21"/>
  <c r="A406" i="21"/>
  <c r="A407" i="21"/>
  <c r="A408" i="21"/>
  <c r="A409" i="21"/>
  <c r="A410" i="21"/>
  <c r="A411" i="21"/>
  <c r="A412" i="21"/>
  <c r="A413" i="21"/>
  <c r="A414" i="21"/>
  <c r="A415" i="21"/>
  <c r="A416" i="21"/>
  <c r="A417" i="21"/>
  <c r="A418" i="21"/>
  <c r="A419" i="21"/>
  <c r="A420" i="21"/>
  <c r="A421" i="21"/>
  <c r="A422" i="21"/>
  <c r="A423" i="21"/>
  <c r="A424" i="21"/>
  <c r="A425" i="21"/>
  <c r="A426" i="21"/>
  <c r="A427" i="21"/>
  <c r="A428" i="21"/>
  <c r="A429" i="21"/>
  <c r="A430" i="21"/>
  <c r="A431" i="21"/>
  <c r="A432" i="21"/>
  <c r="A433" i="21"/>
  <c r="A434" i="21"/>
  <c r="A435" i="21"/>
  <c r="A436" i="21"/>
  <c r="A437" i="21"/>
  <c r="A438" i="21"/>
  <c r="A439" i="21"/>
  <c r="A440" i="21"/>
  <c r="A441" i="21"/>
  <c r="A442" i="21"/>
  <c r="A443" i="21"/>
  <c r="A444" i="21"/>
  <c r="A445" i="21"/>
  <c r="A446" i="21"/>
  <c r="A447" i="21"/>
  <c r="A448" i="21"/>
  <c r="A449" i="21"/>
  <c r="A450" i="21"/>
  <c r="A451" i="21"/>
  <c r="A452" i="21"/>
  <c r="A453" i="21"/>
  <c r="A454" i="21"/>
  <c r="A455" i="21"/>
  <c r="A456" i="21"/>
  <c r="A457" i="21"/>
  <c r="A458" i="21"/>
  <c r="A459" i="21"/>
  <c r="A460" i="21"/>
  <c r="A461" i="21"/>
  <c r="A462" i="21"/>
  <c r="A463" i="21"/>
  <c r="A464" i="21"/>
  <c r="A465" i="21"/>
  <c r="A466" i="21"/>
  <c r="A467" i="21"/>
  <c r="A468" i="21"/>
  <c r="A469" i="21"/>
  <c r="A470" i="21"/>
  <c r="A471" i="21"/>
  <c r="A472" i="21"/>
  <c r="A473" i="21"/>
  <c r="A474" i="21"/>
  <c r="A475" i="21"/>
  <c r="A476" i="21"/>
  <c r="A477" i="21"/>
  <c r="A478" i="21"/>
  <c r="A479" i="21"/>
  <c r="A480" i="21"/>
  <c r="A481" i="21"/>
  <c r="A482" i="21"/>
  <c r="A483" i="21"/>
  <c r="A484" i="21"/>
  <c r="A485" i="21"/>
  <c r="A486" i="21"/>
  <c r="A487" i="21"/>
  <c r="A488" i="21"/>
  <c r="A489" i="21"/>
  <c r="A490" i="21"/>
  <c r="A491" i="21"/>
  <c r="A492" i="21"/>
  <c r="A493" i="21"/>
  <c r="A494" i="21"/>
  <c r="A495" i="21"/>
  <c r="A496" i="21"/>
  <c r="A497" i="21"/>
  <c r="A498" i="21"/>
  <c r="A499" i="21"/>
  <c r="A500" i="21"/>
  <c r="A501" i="21"/>
  <c r="A502" i="21"/>
  <c r="A503" i="21"/>
  <c r="A504" i="21"/>
  <c r="A505" i="21"/>
  <c r="A506" i="21"/>
  <c r="A507" i="21"/>
  <c r="A508" i="21"/>
  <c r="A509" i="21"/>
  <c r="A510" i="21"/>
  <c r="A511" i="21"/>
  <c r="A512" i="21"/>
  <c r="A513" i="21"/>
  <c r="A514" i="21"/>
  <c r="A515" i="21"/>
  <c r="A516" i="21"/>
  <c r="A517" i="21"/>
  <c r="A518" i="21"/>
  <c r="A519" i="21"/>
  <c r="A520" i="21"/>
  <c r="A521" i="21"/>
  <c r="A522" i="21"/>
  <c r="A523" i="21"/>
  <c r="A524" i="21"/>
  <c r="A525" i="21"/>
  <c r="A526" i="21"/>
  <c r="A527" i="21"/>
  <c r="A528" i="21"/>
  <c r="A529" i="21"/>
  <c r="A530" i="21"/>
  <c r="A531" i="21"/>
  <c r="A532" i="21"/>
  <c r="A533" i="21"/>
  <c r="A534" i="21"/>
  <c r="A535" i="21"/>
  <c r="A536" i="21"/>
  <c r="A537" i="21"/>
  <c r="A538" i="21"/>
  <c r="A539" i="21"/>
  <c r="A540" i="21"/>
  <c r="A541" i="21"/>
  <c r="A542" i="21"/>
  <c r="A543" i="21"/>
  <c r="A544" i="21"/>
  <c r="A545" i="21"/>
  <c r="A546" i="21"/>
  <c r="A547" i="21"/>
  <c r="A548" i="21"/>
  <c r="A549" i="21"/>
  <c r="A550" i="21"/>
  <c r="A551" i="21"/>
  <c r="A552" i="21"/>
  <c r="A553" i="21"/>
  <c r="A554" i="21"/>
  <c r="A555" i="21"/>
  <c r="A556" i="21"/>
  <c r="A557" i="21"/>
  <c r="A558" i="21"/>
  <c r="A559" i="21"/>
  <c r="A560" i="21"/>
  <c r="A561" i="21"/>
  <c r="A562" i="21"/>
  <c r="A563" i="21"/>
  <c r="A564" i="21"/>
  <c r="A565" i="21"/>
  <c r="A566" i="21"/>
  <c r="A567" i="21"/>
  <c r="A568" i="21"/>
  <c r="A569" i="21"/>
  <c r="A570" i="21"/>
  <c r="A571" i="21"/>
  <c r="A572" i="21"/>
  <c r="A573" i="21"/>
  <c r="A574" i="21"/>
  <c r="A575" i="21"/>
  <c r="A576" i="21"/>
  <c r="A577" i="21"/>
  <c r="A578" i="21"/>
  <c r="A579" i="21"/>
  <c r="A580" i="21"/>
  <c r="A581" i="21"/>
  <c r="A582" i="21"/>
  <c r="A583" i="21"/>
  <c r="A584" i="21"/>
  <c r="A585" i="21"/>
  <c r="A586" i="21"/>
  <c r="A587" i="21"/>
  <c r="A588" i="21"/>
  <c r="A589" i="21"/>
  <c r="A590" i="21"/>
  <c r="A591" i="21"/>
  <c r="A592" i="21"/>
  <c r="A593" i="21"/>
  <c r="A594" i="21"/>
  <c r="A595" i="21"/>
  <c r="A596" i="21"/>
  <c r="A597" i="21"/>
  <c r="A598" i="21"/>
  <c r="A599" i="21"/>
  <c r="A600" i="21"/>
  <c r="A601" i="21"/>
  <c r="A602" i="21"/>
  <c r="A603" i="21"/>
  <c r="A604" i="21"/>
  <c r="A605" i="21"/>
  <c r="A606" i="21"/>
  <c r="A607" i="21"/>
  <c r="A608" i="21"/>
  <c r="A609" i="21"/>
  <c r="A610" i="21"/>
  <c r="A611" i="21"/>
  <c r="A612" i="21"/>
  <c r="A613" i="21"/>
  <c r="A614" i="21"/>
  <c r="A615" i="21"/>
  <c r="A616" i="21"/>
  <c r="A617" i="21"/>
  <c r="A618" i="21"/>
  <c r="A619" i="21"/>
  <c r="A620" i="21"/>
  <c r="A621" i="21"/>
  <c r="A622" i="21"/>
  <c r="A623" i="21"/>
  <c r="A624" i="21"/>
  <c r="A625" i="21"/>
  <c r="A626" i="21"/>
  <c r="A627" i="21"/>
  <c r="A628" i="21"/>
  <c r="A629" i="21"/>
  <c r="A630" i="21"/>
  <c r="A631" i="21"/>
  <c r="A632" i="21"/>
  <c r="A633" i="21"/>
  <c r="A634" i="21"/>
  <c r="A635" i="21"/>
  <c r="A636" i="21"/>
  <c r="A637" i="21"/>
  <c r="A638" i="21"/>
  <c r="A639" i="21"/>
  <c r="A640" i="21"/>
  <c r="A641" i="21"/>
  <c r="A642" i="21"/>
  <c r="A643" i="21"/>
  <c r="A644" i="21"/>
  <c r="A645" i="21"/>
  <c r="A646" i="21"/>
  <c r="A647" i="21"/>
  <c r="A648" i="21"/>
  <c r="A649" i="21"/>
  <c r="A650" i="21"/>
  <c r="A651" i="21"/>
  <c r="A652" i="21"/>
  <c r="A653" i="21"/>
  <c r="A654" i="21"/>
  <c r="A655" i="21"/>
  <c r="A656" i="21"/>
  <c r="A657" i="21"/>
  <c r="A658" i="21"/>
  <c r="A659" i="21"/>
  <c r="A660" i="21"/>
  <c r="A661" i="21"/>
  <c r="A662" i="21"/>
  <c r="A663" i="21"/>
  <c r="A664" i="21"/>
  <c r="A665" i="21"/>
  <c r="A666" i="21"/>
  <c r="A667" i="21"/>
  <c r="A668" i="21"/>
  <c r="A669" i="21"/>
  <c r="A670" i="21"/>
  <c r="A671" i="21"/>
  <c r="A672" i="21"/>
  <c r="A673" i="21"/>
  <c r="A674" i="21"/>
  <c r="A675" i="21"/>
  <c r="A676" i="21"/>
  <c r="A677" i="21"/>
  <c r="A678" i="21"/>
  <c r="A679" i="21"/>
  <c r="A680" i="21"/>
  <c r="A681" i="21"/>
  <c r="A682" i="21"/>
  <c r="A683" i="21"/>
  <c r="A684" i="21"/>
  <c r="A685" i="21"/>
  <c r="A686" i="21"/>
  <c r="A687" i="21"/>
  <c r="A688" i="21"/>
  <c r="A689" i="21"/>
  <c r="A690" i="21"/>
  <c r="A691" i="21"/>
  <c r="A692" i="21"/>
  <c r="A693" i="21"/>
  <c r="A694" i="21"/>
  <c r="A695" i="21"/>
  <c r="A696" i="21"/>
  <c r="A697" i="21"/>
  <c r="A698" i="21"/>
  <c r="A699" i="21"/>
  <c r="A700" i="21"/>
  <c r="A701" i="21"/>
  <c r="A702" i="21"/>
  <c r="A703" i="21"/>
  <c r="A704" i="21"/>
  <c r="A705" i="21"/>
  <c r="A706" i="21"/>
  <c r="A707" i="21"/>
  <c r="A708" i="21"/>
  <c r="A709" i="21"/>
  <c r="A710" i="21"/>
  <c r="A711" i="21"/>
  <c r="A712" i="21"/>
  <c r="A713" i="21"/>
  <c r="A714" i="21"/>
  <c r="A715" i="21"/>
  <c r="A716" i="21"/>
  <c r="A717" i="21"/>
  <c r="A718" i="21"/>
  <c r="A719" i="21"/>
  <c r="A720" i="21"/>
  <c r="A721" i="21"/>
  <c r="A722" i="21"/>
  <c r="A723" i="21"/>
  <c r="A724" i="21"/>
  <c r="A725" i="21"/>
  <c r="A726" i="21"/>
  <c r="A727" i="21"/>
  <c r="A728" i="21"/>
  <c r="A729" i="21"/>
  <c r="A730" i="21"/>
  <c r="A731" i="21"/>
  <c r="A732" i="21"/>
  <c r="A733" i="21"/>
  <c r="A734" i="21"/>
  <c r="A735" i="21"/>
  <c r="A736" i="21"/>
  <c r="A737" i="21"/>
  <c r="A738" i="21"/>
  <c r="A739" i="21"/>
  <c r="A740" i="21"/>
  <c r="A741" i="21"/>
  <c r="A742" i="21"/>
  <c r="A743" i="21"/>
  <c r="A744" i="21"/>
  <c r="A745" i="21"/>
  <c r="A746" i="21"/>
  <c r="A747" i="21"/>
  <c r="A748" i="21"/>
  <c r="A749" i="21"/>
  <c r="A750" i="21"/>
  <c r="A751" i="21"/>
  <c r="A752" i="21"/>
  <c r="A753" i="21"/>
  <c r="A754" i="21"/>
  <c r="A755" i="21"/>
  <c r="A756" i="21"/>
  <c r="A757" i="21"/>
  <c r="A758" i="21"/>
  <c r="A759" i="21"/>
  <c r="A760" i="21"/>
  <c r="A761" i="21"/>
  <c r="A762" i="21"/>
  <c r="A763" i="21"/>
  <c r="A764" i="21"/>
  <c r="A765" i="21"/>
  <c r="A766" i="21"/>
  <c r="A767" i="21"/>
  <c r="A768" i="21"/>
  <c r="A769" i="21"/>
  <c r="A770" i="21"/>
  <c r="A771" i="21"/>
  <c r="A772" i="21"/>
  <c r="A773" i="21"/>
  <c r="A774" i="21"/>
  <c r="A775" i="21"/>
  <c r="A776" i="21"/>
  <c r="A777" i="21"/>
  <c r="A778" i="21"/>
  <c r="A779" i="21"/>
  <c r="A780" i="21"/>
  <c r="A781" i="21"/>
  <c r="A782" i="21"/>
  <c r="A783" i="21"/>
  <c r="A784" i="21"/>
  <c r="A785" i="21"/>
  <c r="A786" i="21"/>
  <c r="A787" i="21"/>
  <c r="A788" i="21"/>
  <c r="A789" i="21"/>
  <c r="A790" i="21"/>
  <c r="A791" i="21"/>
  <c r="A792" i="21"/>
  <c r="A793" i="21"/>
  <c r="A794" i="21"/>
  <c r="A795" i="21"/>
  <c r="A796" i="21"/>
  <c r="A797" i="21"/>
  <c r="A798" i="21"/>
  <c r="A799" i="21"/>
  <c r="A800" i="21"/>
  <c r="A801" i="21"/>
  <c r="A802" i="21"/>
  <c r="A803" i="21"/>
  <c r="A804" i="21"/>
  <c r="A805" i="21"/>
  <c r="A806" i="21"/>
  <c r="A807" i="21"/>
  <c r="A808" i="21"/>
  <c r="A809" i="21"/>
  <c r="A810" i="21"/>
  <c r="A811" i="21"/>
  <c r="A812" i="21"/>
  <c r="A813" i="21"/>
  <c r="A814" i="21"/>
  <c r="A815" i="21"/>
  <c r="A816" i="21"/>
  <c r="A817" i="21"/>
  <c r="A818" i="21"/>
  <c r="A819" i="21"/>
  <c r="A820" i="21"/>
  <c r="A821" i="21"/>
  <c r="A822" i="21"/>
  <c r="A823" i="21"/>
  <c r="A824" i="21"/>
  <c r="A825" i="21"/>
  <c r="A826" i="21"/>
  <c r="A827" i="21"/>
  <c r="A828" i="21"/>
  <c r="A829" i="21"/>
  <c r="A830" i="21"/>
  <c r="A831" i="21"/>
  <c r="A832" i="21"/>
  <c r="A833" i="21"/>
  <c r="A834" i="21"/>
  <c r="A835" i="21"/>
  <c r="A836" i="21"/>
  <c r="A837" i="21"/>
  <c r="A838" i="21"/>
  <c r="A839" i="21"/>
  <c r="A840" i="21"/>
  <c r="A841" i="21"/>
  <c r="A842" i="21"/>
  <c r="A843" i="21"/>
  <c r="A844" i="21"/>
  <c r="A845" i="21"/>
  <c r="A846" i="21"/>
  <c r="A847" i="21"/>
  <c r="A848" i="21"/>
  <c r="A849" i="21"/>
  <c r="A850" i="21"/>
  <c r="A851" i="21"/>
  <c r="A852" i="21"/>
  <c r="A853" i="21"/>
  <c r="A854" i="21"/>
  <c r="A855" i="21"/>
  <c r="A856" i="21"/>
  <c r="A857" i="21"/>
  <c r="A858" i="21"/>
  <c r="A859" i="21"/>
  <c r="A860" i="21"/>
  <c r="A861" i="21"/>
  <c r="A862" i="21"/>
  <c r="A863" i="21"/>
  <c r="A864" i="21"/>
  <c r="A865" i="21"/>
  <c r="A866" i="21"/>
  <c r="A867" i="21"/>
  <c r="A868" i="21"/>
  <c r="A869" i="21"/>
  <c r="A870" i="21"/>
  <c r="A871" i="21"/>
  <c r="A872" i="21"/>
  <c r="A873" i="21"/>
  <c r="A874" i="21"/>
  <c r="A875" i="21"/>
  <c r="A876" i="21"/>
  <c r="A877" i="21"/>
  <c r="A878" i="21"/>
  <c r="A879" i="21"/>
  <c r="A880" i="21"/>
  <c r="A881" i="21"/>
  <c r="A882" i="21"/>
  <c r="A883" i="21"/>
  <c r="A884" i="21"/>
  <c r="A885" i="21"/>
  <c r="A886" i="21"/>
  <c r="A887" i="21"/>
  <c r="A888" i="21"/>
  <c r="A889" i="21"/>
  <c r="A890" i="21"/>
  <c r="A891" i="21"/>
  <c r="A892" i="21"/>
  <c r="A893" i="21"/>
  <c r="A894" i="21"/>
  <c r="A895" i="21"/>
  <c r="A896" i="21"/>
  <c r="A897" i="21"/>
  <c r="A898" i="21"/>
  <c r="A899" i="21"/>
  <c r="A900" i="21"/>
  <c r="A901" i="21"/>
  <c r="A902" i="21"/>
  <c r="A903" i="21"/>
  <c r="A904" i="21"/>
  <c r="A905" i="21"/>
  <c r="A906" i="21"/>
  <c r="A907" i="21"/>
  <c r="A908" i="21"/>
  <c r="A909" i="21"/>
  <c r="A910" i="21"/>
  <c r="A911" i="21"/>
  <c r="A912" i="21"/>
  <c r="A913" i="21"/>
  <c r="A914" i="21"/>
  <c r="A915" i="21"/>
  <c r="A916" i="21"/>
  <c r="A917" i="21"/>
  <c r="A918" i="21"/>
  <c r="A919" i="21"/>
  <c r="A920" i="21"/>
  <c r="A921" i="21"/>
  <c r="A922" i="21"/>
  <c r="A923" i="21"/>
  <c r="A924" i="21"/>
  <c r="A925" i="21"/>
  <c r="A926" i="21"/>
  <c r="A927" i="21"/>
  <c r="A928" i="21"/>
  <c r="A929" i="21"/>
  <c r="A930" i="21"/>
  <c r="A931" i="21"/>
  <c r="A932" i="21"/>
  <c r="A933" i="21"/>
  <c r="A934" i="21"/>
  <c r="A935" i="21"/>
  <c r="A936" i="21"/>
  <c r="A937" i="21"/>
  <c r="A938" i="21"/>
  <c r="A939" i="21"/>
  <c r="A940" i="21"/>
  <c r="A941" i="21"/>
  <c r="A942" i="21"/>
  <c r="A943" i="21"/>
  <c r="A944" i="21"/>
  <c r="A945" i="21"/>
  <c r="A946" i="21"/>
  <c r="A947" i="21"/>
  <c r="A948" i="21"/>
  <c r="A949" i="21"/>
  <c r="A950" i="21"/>
  <c r="A951" i="21"/>
  <c r="A952" i="21"/>
  <c r="A953" i="21"/>
  <c r="A954" i="21"/>
  <c r="A955" i="21"/>
  <c r="A956" i="21"/>
  <c r="A957" i="21"/>
  <c r="A958" i="21"/>
  <c r="A959" i="21"/>
  <c r="A960" i="21"/>
  <c r="A961" i="21"/>
  <c r="A962" i="21"/>
  <c r="A963" i="21"/>
  <c r="A964" i="21"/>
  <c r="A965" i="21"/>
  <c r="A966" i="21"/>
  <c r="A967" i="21"/>
  <c r="A968" i="21"/>
  <c r="A969" i="21"/>
  <c r="A970" i="21"/>
  <c r="A971" i="21"/>
  <c r="A972" i="21"/>
  <c r="A973" i="21"/>
  <c r="A974" i="21"/>
  <c r="A975" i="21"/>
  <c r="A976" i="21"/>
  <c r="A977" i="21"/>
  <c r="A978" i="21"/>
  <c r="A979" i="21"/>
  <c r="A980" i="21"/>
  <c r="A981" i="21"/>
  <c r="A982" i="21"/>
  <c r="A983" i="21"/>
  <c r="A984" i="21"/>
  <c r="A985" i="21"/>
  <c r="A986" i="21"/>
  <c r="A987" i="21"/>
  <c r="A988" i="21"/>
  <c r="A989" i="21"/>
  <c r="A990" i="21"/>
  <c r="A991" i="21"/>
  <c r="A992" i="21"/>
  <c r="A993" i="21"/>
  <c r="A994" i="21"/>
  <c r="A995" i="21"/>
  <c r="A996" i="21"/>
  <c r="A997" i="21"/>
  <c r="A998" i="21"/>
  <c r="A999" i="21"/>
  <c r="A1000" i="21"/>
  <c r="A1001" i="21"/>
  <c r="A1002" i="21"/>
  <c r="A1003" i="21"/>
  <c r="A1004" i="21"/>
  <c r="A1005" i="21"/>
  <c r="A1006" i="21"/>
  <c r="A1007" i="21"/>
  <c r="A1008" i="21"/>
  <c r="A1009" i="21"/>
  <c r="A1010" i="21"/>
  <c r="A1011" i="21"/>
  <c r="A1012" i="21"/>
  <c r="A1013" i="21"/>
  <c r="A1014" i="21"/>
  <c r="A1015" i="21"/>
  <c r="A1016" i="21"/>
  <c r="A1017" i="21"/>
  <c r="A1018" i="21"/>
  <c r="A1019" i="21"/>
  <c r="A1020" i="21"/>
  <c r="A1021" i="21"/>
  <c r="A1022" i="21"/>
  <c r="A1023" i="21"/>
  <c r="A1024" i="21"/>
  <c r="A1025" i="21"/>
  <c r="A1026" i="21"/>
  <c r="A1027" i="21"/>
  <c r="A1028" i="21"/>
  <c r="A1029" i="21"/>
  <c r="A1030" i="21"/>
  <c r="A1031" i="21"/>
  <c r="A1032" i="21"/>
  <c r="A1033" i="21"/>
  <c r="A1034" i="21"/>
  <c r="A1035" i="21"/>
  <c r="A1036" i="21"/>
  <c r="A1037" i="21"/>
  <c r="A1038" i="21"/>
  <c r="A1039" i="21"/>
  <c r="A1040" i="21"/>
  <c r="A1041" i="21"/>
  <c r="A1042" i="21"/>
  <c r="A1043" i="21"/>
  <c r="A1044" i="21"/>
  <c r="A1045" i="21"/>
  <c r="A1046" i="21"/>
  <c r="A1047" i="21"/>
  <c r="A1048" i="21"/>
  <c r="A1049" i="21"/>
  <c r="A1050" i="21"/>
  <c r="A1051" i="21"/>
  <c r="A1052" i="21"/>
  <c r="A1053" i="21"/>
  <c r="A1054" i="21"/>
  <c r="A1055" i="21"/>
  <c r="A1056" i="21"/>
  <c r="A1057" i="21"/>
  <c r="A1058" i="21"/>
  <c r="A1059" i="21"/>
  <c r="A1060" i="21"/>
  <c r="A1061" i="21"/>
  <c r="A1062" i="21"/>
  <c r="A1063" i="21"/>
  <c r="A1064" i="21"/>
  <c r="A1065" i="21"/>
  <c r="A1066" i="21"/>
  <c r="A1067" i="21"/>
  <c r="A1068" i="21"/>
  <c r="A1069" i="21"/>
  <c r="A1070" i="21"/>
  <c r="A1071" i="21"/>
  <c r="A1072" i="21"/>
  <c r="A1073" i="21"/>
  <c r="A1074" i="21"/>
  <c r="A1075" i="21"/>
  <c r="A1076" i="21"/>
  <c r="A1077" i="21"/>
  <c r="A1078" i="21"/>
  <c r="A1079" i="21"/>
  <c r="A1080" i="21"/>
  <c r="A1081" i="21"/>
  <c r="A1082" i="21"/>
  <c r="A1083" i="21"/>
  <c r="A1084" i="21"/>
  <c r="A1085" i="21"/>
  <c r="A1086" i="21"/>
  <c r="A1087" i="21"/>
  <c r="A1088" i="21"/>
  <c r="A1089" i="21"/>
  <c r="A1090" i="21"/>
  <c r="A1091" i="21"/>
  <c r="A1092" i="21"/>
  <c r="A1093" i="21"/>
  <c r="A1094" i="21"/>
  <c r="A1095" i="21"/>
  <c r="A1096" i="21"/>
  <c r="A1097" i="21"/>
  <c r="A1098" i="21"/>
  <c r="A1099" i="21"/>
  <c r="A1100" i="21"/>
  <c r="A1101" i="21"/>
  <c r="A1102" i="21"/>
  <c r="A1103" i="21"/>
  <c r="A1104" i="21"/>
  <c r="A1105" i="21"/>
  <c r="A1106" i="21"/>
  <c r="A1107" i="21"/>
  <c r="A1108" i="21"/>
  <c r="A1109" i="21"/>
  <c r="A1110" i="21"/>
  <c r="A1111" i="21"/>
  <c r="A1112" i="21"/>
  <c r="A1113" i="21"/>
  <c r="A1114" i="21"/>
  <c r="A1115" i="21"/>
  <c r="A1116" i="21"/>
  <c r="A1117" i="21"/>
  <c r="A1118" i="21"/>
  <c r="A1119" i="21"/>
  <c r="A1120" i="21"/>
  <c r="A1121" i="21"/>
  <c r="A1122" i="21"/>
  <c r="A1131" i="21"/>
  <c r="A1132" i="21"/>
  <c r="A1133" i="21"/>
  <c r="A1134" i="21"/>
  <c r="A1135" i="21"/>
  <c r="A1136" i="21"/>
  <c r="A1137" i="21"/>
  <c r="A1138" i="21"/>
  <c r="A1139" i="21"/>
  <c r="A1140" i="21"/>
  <c r="A1141" i="21"/>
  <c r="A1142" i="21"/>
  <c r="A1143" i="21"/>
  <c r="A1144" i="21"/>
  <c r="A1145" i="21"/>
  <c r="A1146" i="21"/>
  <c r="A1147" i="21"/>
  <c r="A1148" i="21"/>
  <c r="A1149" i="21"/>
  <c r="A1150" i="21"/>
  <c r="A1151" i="21"/>
  <c r="A1152" i="21"/>
  <c r="A1153" i="21"/>
  <c r="A1154" i="21"/>
  <c r="A1155" i="21"/>
  <c r="A1156" i="21"/>
  <c r="A1157" i="21"/>
  <c r="A1158" i="21"/>
  <c r="A1159" i="21"/>
  <c r="A1160" i="21"/>
  <c r="A1161" i="21"/>
  <c r="A1162" i="21"/>
  <c r="A1163" i="21"/>
  <c r="A1164" i="21"/>
  <c r="A1165" i="21"/>
  <c r="A1166" i="21"/>
  <c r="A1167" i="21"/>
  <c r="A1168" i="21"/>
  <c r="A1169" i="21"/>
  <c r="A1170" i="21"/>
  <c r="A1171" i="21"/>
  <c r="A1172" i="21"/>
  <c r="A1173" i="21"/>
  <c r="A1174" i="21"/>
  <c r="A1175" i="21"/>
  <c r="A1176" i="21"/>
  <c r="A1177" i="21"/>
  <c r="A1178" i="21"/>
  <c r="A1179" i="21"/>
  <c r="A1180" i="21"/>
  <c r="A1181" i="21"/>
  <c r="A1182" i="21"/>
  <c r="A1183" i="21"/>
  <c r="A1184" i="21"/>
  <c r="A1185" i="21"/>
  <c r="A1186" i="21"/>
  <c r="A1187" i="21"/>
  <c r="A1188" i="21"/>
  <c r="A1189" i="21"/>
  <c r="A1190" i="21"/>
  <c r="A1191" i="21"/>
  <c r="A1192" i="21"/>
  <c r="A1193" i="21"/>
  <c r="A1194" i="21"/>
  <c r="A1195" i="21"/>
  <c r="A1196" i="21"/>
  <c r="A1197" i="21"/>
  <c r="A1198" i="21"/>
  <c r="A1199" i="21"/>
  <c r="A1200" i="21"/>
  <c r="A1201" i="21"/>
  <c r="A1202" i="21"/>
  <c r="A1203" i="21"/>
  <c r="A1204" i="21"/>
  <c r="A1205" i="21"/>
  <c r="A1206" i="21"/>
  <c r="A1207" i="21"/>
  <c r="A1208" i="21"/>
  <c r="A1209" i="21"/>
  <c r="A1210" i="21"/>
  <c r="A1211" i="21"/>
  <c r="A1212" i="21"/>
  <c r="A1213" i="21"/>
  <c r="A1214" i="21"/>
  <c r="A1215" i="21"/>
  <c r="A1216" i="21"/>
  <c r="A1217" i="21"/>
  <c r="A1218" i="21"/>
  <c r="A1219" i="21"/>
  <c r="A1220" i="21"/>
  <c r="A1221" i="21"/>
  <c r="A1222" i="21"/>
  <c r="A1223" i="21"/>
  <c r="A1224" i="21"/>
  <c r="A1225" i="21"/>
  <c r="A1226" i="21"/>
  <c r="A1227" i="21"/>
  <c r="A1228" i="21"/>
  <c r="A1229" i="21"/>
  <c r="A1230" i="21"/>
  <c r="A1231" i="21"/>
  <c r="A1232" i="21"/>
  <c r="A1233" i="21"/>
  <c r="A1234" i="21"/>
  <c r="A1235" i="21"/>
  <c r="A1236" i="21"/>
  <c r="A1237" i="21"/>
  <c r="A1238" i="21"/>
  <c r="A1239" i="21"/>
  <c r="A1240" i="21"/>
  <c r="A1241" i="21"/>
  <c r="A1242" i="21"/>
  <c r="A1243" i="21"/>
  <c r="A1244" i="21"/>
  <c r="A1245" i="21"/>
  <c r="A1246" i="21"/>
  <c r="A1247" i="21"/>
  <c r="A1248" i="21"/>
  <c r="A1249" i="21"/>
  <c r="A1250" i="21"/>
  <c r="A1251" i="21"/>
  <c r="A1252" i="21"/>
  <c r="A1253" i="21"/>
  <c r="A1254" i="21"/>
  <c r="A1255" i="21"/>
  <c r="A1256" i="21"/>
  <c r="A1257" i="21"/>
  <c r="A1258" i="21"/>
  <c r="A1259" i="21"/>
  <c r="A1260" i="21"/>
  <c r="A1261" i="21"/>
  <c r="A1262" i="21"/>
  <c r="A1263" i="21"/>
  <c r="A1264" i="21"/>
  <c r="A1265" i="21"/>
  <c r="A1266" i="21"/>
  <c r="A1267" i="21"/>
  <c r="A1268" i="21"/>
  <c r="A1269" i="21"/>
  <c r="A1270" i="21"/>
  <c r="A1271" i="21"/>
  <c r="A1272" i="21"/>
  <c r="A1273" i="21"/>
  <c r="A1274" i="21"/>
  <c r="A1275" i="21"/>
  <c r="A1276" i="21"/>
  <c r="A1277" i="21"/>
  <c r="A1278" i="21"/>
  <c r="A1279" i="21"/>
  <c r="A1280" i="21"/>
  <c r="A1281" i="21"/>
  <c r="A1282" i="21"/>
  <c r="A1283" i="21"/>
  <c r="A1284" i="21"/>
  <c r="A1285" i="21"/>
  <c r="A1286" i="21"/>
  <c r="A1287" i="21"/>
  <c r="A1288" i="21"/>
  <c r="A1289" i="21"/>
  <c r="A1290" i="21"/>
  <c r="A1291" i="21"/>
  <c r="A1292" i="21"/>
  <c r="A1293" i="21"/>
  <c r="A1294" i="21"/>
  <c r="A1295" i="21"/>
  <c r="A1296" i="21"/>
  <c r="A1297" i="21"/>
  <c r="A1298" i="21"/>
  <c r="A1299" i="21"/>
  <c r="A1300" i="21"/>
  <c r="A1301" i="21"/>
  <c r="A1302" i="21"/>
  <c r="A1303" i="21"/>
  <c r="A1304" i="21"/>
  <c r="A1305" i="21"/>
  <c r="A1306" i="21"/>
  <c r="A1307" i="21"/>
  <c r="A1308" i="21"/>
  <c r="A1309" i="21"/>
  <c r="A1310" i="21"/>
  <c r="A1311" i="21"/>
  <c r="A1312" i="21"/>
  <c r="A1313" i="21"/>
  <c r="A1314" i="21"/>
  <c r="A1315" i="21"/>
  <c r="A1316" i="21"/>
  <c r="A1317" i="21"/>
  <c r="A1318" i="21"/>
  <c r="A1319" i="21"/>
  <c r="A1320" i="21"/>
  <c r="A1321" i="21"/>
  <c r="A1322" i="21"/>
  <c r="A1323" i="21"/>
  <c r="A1324" i="21"/>
  <c r="A1325" i="21"/>
  <c r="A1326" i="21"/>
  <c r="A1327" i="21"/>
  <c r="A1328" i="21"/>
  <c r="A1329" i="21"/>
  <c r="A1330" i="21"/>
  <c r="A1331" i="21"/>
  <c r="A1332" i="21"/>
  <c r="A1333" i="21"/>
  <c r="A1334" i="21"/>
  <c r="A1335" i="21"/>
  <c r="A1336" i="21"/>
  <c r="A1337" i="21"/>
  <c r="A1338" i="21"/>
  <c r="A1339" i="21"/>
  <c r="A1340" i="21"/>
  <c r="A1341" i="21"/>
  <c r="A1342" i="21"/>
  <c r="A1343" i="21"/>
  <c r="A1344" i="21"/>
  <c r="A1345" i="21"/>
  <c r="A1346" i="21"/>
  <c r="A1347" i="21"/>
  <c r="A1348" i="21"/>
  <c r="A1349" i="21"/>
  <c r="A1350" i="21"/>
  <c r="A1351" i="21"/>
  <c r="A1352" i="21"/>
  <c r="A1353" i="21"/>
  <c r="A1354" i="21"/>
  <c r="A1355" i="21"/>
  <c r="A1356" i="21"/>
  <c r="A1357" i="21"/>
  <c r="A1358" i="21"/>
  <c r="A1359" i="21"/>
  <c r="A1360" i="21"/>
  <c r="A1361" i="21"/>
  <c r="A1362" i="21"/>
  <c r="A1363" i="21"/>
  <c r="A1364" i="21"/>
  <c r="A1365" i="21"/>
  <c r="A1366" i="21"/>
  <c r="A1367" i="21"/>
  <c r="A1368" i="21"/>
  <c r="A1369" i="21"/>
  <c r="A1370" i="21"/>
  <c r="A1371" i="21"/>
  <c r="A1372" i="21"/>
  <c r="A1373" i="21"/>
  <c r="A1374" i="21"/>
  <c r="A1375" i="21"/>
  <c r="A1376" i="21"/>
  <c r="A1377" i="21"/>
  <c r="A1378" i="21"/>
  <c r="A1379" i="21"/>
  <c r="A1380" i="21"/>
  <c r="A1381" i="21"/>
  <c r="A1382" i="21"/>
  <c r="A1383" i="21"/>
  <c r="A1384" i="21"/>
  <c r="A1385" i="21"/>
  <c r="A1386" i="21"/>
  <c r="A1387" i="21"/>
  <c r="A1388" i="21"/>
  <c r="A1389" i="21"/>
  <c r="A1390" i="21"/>
  <c r="A1391" i="21"/>
  <c r="A1392" i="21"/>
  <c r="A1393" i="21"/>
  <c r="A1394" i="21"/>
  <c r="A1395" i="21"/>
  <c r="A1396" i="21"/>
  <c r="A1397" i="21"/>
  <c r="A1398" i="21"/>
  <c r="A1399" i="21"/>
  <c r="A1400" i="21"/>
  <c r="A1401" i="21"/>
  <c r="A1402" i="21"/>
  <c r="A1403" i="21"/>
  <c r="A1404" i="21"/>
  <c r="A1405" i="21"/>
  <c r="A1406" i="21"/>
  <c r="A1407" i="21"/>
  <c r="A1408" i="21"/>
  <c r="A1409" i="21"/>
  <c r="A1410" i="21"/>
  <c r="A1411" i="21"/>
  <c r="A1412" i="21"/>
  <c r="A1413" i="21"/>
  <c r="A1414" i="21"/>
  <c r="A1415" i="21"/>
  <c r="A1416" i="21"/>
  <c r="A1417" i="21"/>
  <c r="A1418" i="21"/>
  <c r="A1419" i="21"/>
  <c r="A1420" i="21"/>
  <c r="A1421" i="21"/>
  <c r="A1422" i="21"/>
  <c r="A1423" i="21"/>
  <c r="A1424" i="21"/>
  <c r="A1425" i="21"/>
  <c r="A1426" i="21"/>
  <c r="A1427" i="21"/>
  <c r="A1428" i="21"/>
  <c r="A1429" i="21"/>
  <c r="A1430" i="21"/>
  <c r="A1431" i="21"/>
  <c r="A1432" i="21"/>
  <c r="A1433" i="21"/>
  <c r="A1434" i="21"/>
  <c r="A1435" i="21"/>
  <c r="A1436" i="21"/>
  <c r="A1437" i="21"/>
  <c r="A1438" i="21"/>
  <c r="A1439" i="21"/>
  <c r="A1440" i="21"/>
  <c r="A1441" i="21"/>
  <c r="A1442" i="21"/>
  <c r="A1443" i="21"/>
  <c r="A1444" i="21"/>
  <c r="A1445" i="21"/>
  <c r="A1446" i="21"/>
  <c r="A1447" i="21"/>
  <c r="A1448" i="21"/>
  <c r="A1449" i="21"/>
  <c r="A1450" i="21"/>
  <c r="A1451" i="21"/>
  <c r="A1452" i="21"/>
  <c r="A1453" i="21"/>
  <c r="A1454" i="21"/>
  <c r="A1455" i="21"/>
  <c r="A1456" i="21"/>
  <c r="A1457" i="21"/>
  <c r="A1458" i="21"/>
  <c r="A1459" i="21"/>
  <c r="A1460" i="21"/>
  <c r="A1461" i="21"/>
  <c r="A1462" i="21"/>
  <c r="A1463" i="21"/>
  <c r="A1464" i="21"/>
  <c r="A1465" i="21"/>
  <c r="A1466" i="21"/>
  <c r="A1467" i="21"/>
  <c r="A1468" i="21"/>
  <c r="A1469" i="21"/>
  <c r="A1470" i="21"/>
  <c r="A1471" i="21"/>
  <c r="A1472" i="21"/>
  <c r="A1473" i="21"/>
  <c r="A1474" i="21"/>
  <c r="A1475" i="21"/>
  <c r="A1476" i="21"/>
  <c r="A1477" i="21"/>
  <c r="A1478" i="21"/>
  <c r="A1479" i="21"/>
  <c r="A1480" i="21"/>
  <c r="A1481" i="21"/>
  <c r="A1482" i="21"/>
  <c r="A1483" i="21"/>
  <c r="A1484" i="21"/>
  <c r="A1485" i="21"/>
  <c r="A1486" i="21"/>
  <c r="A1487" i="21"/>
  <c r="A1488" i="21"/>
  <c r="A1489" i="21"/>
  <c r="A1490" i="21"/>
  <c r="A1491" i="21"/>
  <c r="A1492" i="21"/>
  <c r="A1493" i="21"/>
  <c r="A1494" i="21"/>
  <c r="A1495" i="21"/>
  <c r="A1496" i="21"/>
  <c r="A1497" i="21"/>
  <c r="A1498" i="21"/>
  <c r="A1499" i="21"/>
  <c r="A1500" i="21"/>
  <c r="A1501" i="21"/>
  <c r="A1502" i="21"/>
  <c r="A1503" i="21"/>
  <c r="A1504" i="21"/>
  <c r="A1505" i="21"/>
  <c r="A1506" i="21"/>
  <c r="A1507" i="21"/>
  <c r="A1508" i="21"/>
  <c r="A1509" i="21"/>
  <c r="A1510" i="21"/>
  <c r="A1511" i="21"/>
  <c r="A1512" i="21"/>
  <c r="A1513" i="21"/>
  <c r="A1514" i="21"/>
  <c r="A1515" i="21"/>
  <c r="A1516" i="21"/>
  <c r="A1517" i="21"/>
  <c r="A1518" i="21"/>
  <c r="A1519" i="21"/>
  <c r="A1520" i="21"/>
  <c r="A1521" i="21"/>
  <c r="A1522" i="21"/>
  <c r="A1523" i="21"/>
  <c r="A1524" i="21"/>
  <c r="A1525" i="21"/>
  <c r="A1526" i="21"/>
  <c r="A1527" i="21"/>
  <c r="A1528" i="21"/>
  <c r="A1529" i="21"/>
  <c r="A1530" i="21"/>
  <c r="A1531" i="21"/>
  <c r="A1532" i="21"/>
  <c r="A1533" i="21"/>
  <c r="A1534" i="21"/>
  <c r="A1535" i="21"/>
  <c r="A1536" i="21"/>
  <c r="A1537" i="21"/>
  <c r="A1538" i="21"/>
  <c r="A1539" i="21"/>
  <c r="A1540" i="21"/>
  <c r="A1541" i="21"/>
  <c r="A1542" i="21"/>
  <c r="A1543" i="21"/>
  <c r="A1544" i="21"/>
  <c r="A1545" i="21"/>
  <c r="A1546" i="21"/>
  <c r="A1547" i="21"/>
  <c r="A1548" i="21"/>
  <c r="A1549" i="21"/>
  <c r="A1550" i="21"/>
  <c r="A1551" i="21"/>
  <c r="A1552" i="21"/>
  <c r="A1553" i="21"/>
  <c r="A1554" i="21"/>
  <c r="A1555" i="21"/>
  <c r="A1556" i="21"/>
  <c r="A1557" i="21"/>
  <c r="A1558" i="21"/>
  <c r="A1559" i="21"/>
  <c r="A1560" i="21"/>
  <c r="A1561" i="21"/>
  <c r="A1562" i="21"/>
  <c r="A1563" i="21"/>
  <c r="A1564" i="21"/>
  <c r="A1565" i="21"/>
  <c r="A1566" i="21"/>
  <c r="A1567" i="21"/>
  <c r="A1568" i="21"/>
  <c r="A1569" i="21"/>
  <c r="A1570" i="21"/>
  <c r="A1571" i="21"/>
  <c r="A1572" i="21"/>
  <c r="A1573" i="21"/>
  <c r="A1574" i="21"/>
  <c r="A1575" i="21"/>
  <c r="A1576" i="21"/>
  <c r="A1577" i="21"/>
  <c r="A1578" i="21"/>
  <c r="A1579" i="21"/>
  <c r="A1580" i="21"/>
  <c r="A1581" i="21"/>
  <c r="A1582" i="21"/>
  <c r="A1583" i="21"/>
  <c r="A1584" i="21"/>
  <c r="A1585" i="21"/>
  <c r="A1586" i="21"/>
  <c r="A1587" i="21"/>
  <c r="A1588" i="21"/>
  <c r="A1589" i="21"/>
  <c r="A1590" i="21"/>
  <c r="A1591" i="21"/>
  <c r="A1592" i="21"/>
  <c r="A1593" i="21"/>
  <c r="A1594" i="21"/>
  <c r="A1595" i="21"/>
  <c r="A1596" i="21"/>
  <c r="A1597" i="21"/>
  <c r="A1598" i="21"/>
  <c r="A1599" i="21"/>
  <c r="A1600" i="21"/>
  <c r="A1601" i="21"/>
  <c r="A1602" i="21"/>
  <c r="A1603" i="21"/>
  <c r="A1604" i="21"/>
  <c r="A1605" i="21"/>
  <c r="A1606" i="21"/>
  <c r="A1607" i="21"/>
  <c r="A1608" i="21"/>
  <c r="A1609" i="21"/>
  <c r="A1610" i="21"/>
  <c r="A1611" i="21"/>
  <c r="A1612" i="21"/>
  <c r="A1613" i="21"/>
  <c r="A1614" i="21"/>
  <c r="A1615" i="21"/>
  <c r="A1616" i="21"/>
  <c r="A1617" i="21"/>
  <c r="A1618" i="21"/>
  <c r="A1619" i="21"/>
  <c r="A1620" i="21"/>
  <c r="A1621" i="21"/>
  <c r="A1622" i="21"/>
  <c r="A1623" i="21"/>
  <c r="A1624" i="21"/>
  <c r="A1625" i="21"/>
  <c r="A1626" i="21"/>
  <c r="A1627" i="21"/>
  <c r="A1628" i="21"/>
  <c r="A1629" i="21"/>
  <c r="A1630" i="21"/>
  <c r="A1631" i="21"/>
  <c r="A1632" i="21"/>
  <c r="A1633" i="21"/>
  <c r="A1634" i="21"/>
  <c r="A1635" i="21"/>
  <c r="A1636" i="21"/>
  <c r="A1637" i="21"/>
  <c r="A1638" i="21"/>
  <c r="A1639" i="21"/>
  <c r="A1640" i="21"/>
  <c r="A1641" i="21"/>
  <c r="A1642" i="21"/>
  <c r="A1643" i="21"/>
  <c r="A1644" i="21"/>
  <c r="A1645" i="21"/>
  <c r="A1646" i="21"/>
  <c r="A1647" i="21"/>
  <c r="A1648" i="21"/>
  <c r="A1649" i="21"/>
  <c r="A1650" i="21"/>
  <c r="A1651" i="21"/>
  <c r="A1652" i="21"/>
  <c r="A1653" i="21"/>
  <c r="A1654" i="21"/>
  <c r="A1655" i="21"/>
  <c r="A1656" i="21"/>
  <c r="A1657" i="21"/>
  <c r="A1658" i="21"/>
  <c r="A1659" i="21"/>
  <c r="A1660" i="21"/>
  <c r="A1661" i="21"/>
  <c r="A1662" i="21"/>
  <c r="A1663" i="21"/>
  <c r="A1664" i="21"/>
  <c r="A1665" i="21"/>
  <c r="A1666" i="21"/>
  <c r="A1667" i="21"/>
  <c r="A1668" i="21"/>
  <c r="A1669" i="21"/>
  <c r="A1670" i="21"/>
  <c r="A1671" i="21"/>
  <c r="A1672" i="21"/>
  <c r="A1673" i="21"/>
  <c r="A1674" i="21"/>
  <c r="A1675" i="21"/>
  <c r="A1676" i="21"/>
  <c r="A1677" i="21"/>
  <c r="A1678" i="21"/>
  <c r="A1679" i="21"/>
  <c r="A1680" i="21"/>
  <c r="A1681" i="21"/>
  <c r="A1682" i="21"/>
  <c r="A1683" i="21"/>
  <c r="A1684" i="21"/>
  <c r="A1685" i="21"/>
  <c r="A1686" i="21"/>
  <c r="A1687" i="21"/>
  <c r="A1688" i="21"/>
  <c r="A1689" i="21"/>
  <c r="A1690" i="21"/>
  <c r="A1691" i="21"/>
  <c r="A1692" i="21"/>
  <c r="A1693" i="21"/>
  <c r="A1694" i="21"/>
  <c r="A1695" i="21"/>
  <c r="A1696" i="21"/>
  <c r="A1697" i="21"/>
  <c r="A1698" i="21"/>
  <c r="A1699" i="21"/>
  <c r="A1700" i="21"/>
  <c r="A1701" i="21"/>
  <c r="A1702" i="21"/>
  <c r="A1703" i="21"/>
  <c r="A1704" i="21"/>
  <c r="A1705" i="21"/>
  <c r="A1706" i="21"/>
  <c r="A1707" i="21"/>
  <c r="A1708" i="21"/>
  <c r="A1709" i="21"/>
  <c r="A1710" i="21"/>
  <c r="A1711" i="21"/>
  <c r="A1712" i="21"/>
  <c r="A1713" i="21"/>
  <c r="A1714" i="21"/>
  <c r="A1715" i="21"/>
  <c r="A1716" i="21"/>
  <c r="A1717" i="21"/>
  <c r="A1718" i="21"/>
  <c r="A1719" i="21"/>
  <c r="A1720" i="21"/>
  <c r="A1721" i="21"/>
  <c r="A1722" i="21"/>
  <c r="A1723" i="21"/>
  <c r="A1724" i="21"/>
  <c r="A1725" i="21"/>
  <c r="A1726" i="21"/>
  <c r="A1727" i="21"/>
  <c r="A1728" i="21"/>
  <c r="A1729" i="21"/>
  <c r="A1730" i="21"/>
  <c r="A1731" i="21"/>
  <c r="A1732" i="21"/>
  <c r="A1733" i="21"/>
  <c r="A1734" i="21"/>
  <c r="A1735" i="21"/>
  <c r="A1736" i="21"/>
  <c r="A1737" i="21"/>
  <c r="A1738" i="21"/>
  <c r="A1739" i="21"/>
  <c r="A1740" i="21"/>
  <c r="A1741" i="21"/>
  <c r="A1742" i="21"/>
  <c r="A1743" i="21"/>
  <c r="A1744" i="21"/>
  <c r="A1745" i="21"/>
  <c r="A1746" i="21"/>
  <c r="A1747" i="21"/>
  <c r="A1748" i="21"/>
  <c r="A1749" i="21"/>
  <c r="A1750" i="21"/>
  <c r="A1751" i="21"/>
  <c r="A1752" i="21"/>
  <c r="A1753" i="21"/>
  <c r="A1754" i="21"/>
  <c r="A1755" i="21"/>
  <c r="A1756" i="21"/>
  <c r="A1757" i="21"/>
  <c r="A1758" i="21"/>
  <c r="A1759" i="21"/>
  <c r="A1760" i="21"/>
  <c r="A1761" i="21"/>
  <c r="A1762" i="21"/>
  <c r="A1763" i="21"/>
  <c r="A1764" i="21"/>
  <c r="A1765" i="21"/>
  <c r="A1766" i="21"/>
  <c r="A1767" i="21"/>
  <c r="A1768" i="21"/>
  <c r="A1769" i="21"/>
  <c r="A1770" i="21"/>
  <c r="A1771" i="21"/>
  <c r="A1772" i="21"/>
  <c r="A1773" i="21"/>
  <c r="A1774" i="21"/>
  <c r="A1775" i="21"/>
  <c r="A1776" i="21"/>
  <c r="A1777" i="21"/>
  <c r="A1778" i="21"/>
  <c r="A1779" i="21"/>
  <c r="A1780" i="21"/>
  <c r="A1781" i="21"/>
  <c r="A1782" i="21"/>
  <c r="A1783" i="21"/>
  <c r="A1784" i="21"/>
  <c r="A1785" i="21"/>
  <c r="A1786" i="21"/>
  <c r="A1787" i="21"/>
  <c r="A1788" i="21"/>
  <c r="A1789" i="21"/>
  <c r="A1790" i="21"/>
  <c r="A1791" i="21"/>
  <c r="A1792" i="21"/>
  <c r="A1793" i="21"/>
  <c r="A1794" i="21"/>
  <c r="A1795" i="21"/>
  <c r="A1796" i="21"/>
  <c r="A1797" i="21"/>
  <c r="A1798" i="21"/>
  <c r="A1799" i="21"/>
  <c r="A1800" i="21"/>
  <c r="A1801" i="21"/>
  <c r="A1802" i="21"/>
  <c r="A1803" i="21"/>
  <c r="A1804" i="21"/>
  <c r="A1805" i="21"/>
  <c r="A1806" i="21"/>
  <c r="A1807" i="21"/>
  <c r="A1808" i="21"/>
  <c r="A1809" i="21"/>
  <c r="A1810" i="21"/>
  <c r="A1811" i="21"/>
  <c r="A1812" i="21"/>
  <c r="A1813" i="21"/>
  <c r="A1814" i="21"/>
  <c r="A1815" i="21"/>
  <c r="A1816" i="21"/>
  <c r="A1817" i="21"/>
  <c r="A1818" i="21"/>
  <c r="A1819" i="21"/>
  <c r="A1820" i="21"/>
  <c r="A1821" i="21"/>
  <c r="A1822" i="21"/>
  <c r="A1823" i="21"/>
  <c r="A1824" i="21"/>
  <c r="A1825" i="21"/>
  <c r="A1826" i="21"/>
  <c r="A1827" i="21"/>
  <c r="A1828" i="21"/>
  <c r="A1829" i="21"/>
  <c r="A1830" i="21"/>
  <c r="A1831" i="21"/>
  <c r="A1832" i="21"/>
  <c r="A1833" i="21"/>
  <c r="A1834" i="21"/>
  <c r="A1835" i="21"/>
  <c r="A1836" i="21"/>
  <c r="A1837" i="21"/>
  <c r="A1838" i="21"/>
  <c r="A1839" i="21"/>
  <c r="A1840" i="21"/>
  <c r="A1841" i="21"/>
  <c r="A1842" i="21"/>
  <c r="A1843" i="21"/>
  <c r="A1844" i="21"/>
  <c r="A1845" i="21"/>
  <c r="A1846" i="21"/>
  <c r="A1847" i="21"/>
  <c r="A1848" i="21"/>
  <c r="A1849" i="21"/>
  <c r="A1850" i="21"/>
  <c r="A1851" i="21"/>
  <c r="A1852" i="21"/>
  <c r="A1853" i="21"/>
  <c r="A1854" i="21"/>
  <c r="A1855" i="21"/>
  <c r="A1856" i="21"/>
  <c r="A1857" i="21"/>
  <c r="A1858" i="21"/>
  <c r="A1859" i="21"/>
  <c r="A1860" i="21"/>
  <c r="A1861" i="21"/>
  <c r="A1862" i="21"/>
  <c r="A1863" i="21"/>
  <c r="A1864" i="21"/>
  <c r="A1865" i="21"/>
  <c r="A1866" i="21"/>
  <c r="A1867" i="21"/>
  <c r="A1868" i="21"/>
  <c r="A1869" i="21"/>
  <c r="A1870" i="21"/>
  <c r="A1871" i="21"/>
  <c r="A1872" i="21"/>
  <c r="A1873" i="21"/>
  <c r="A1874" i="21"/>
  <c r="A1875" i="21"/>
  <c r="A1876" i="21"/>
  <c r="A1877" i="21"/>
  <c r="A1878" i="21"/>
  <c r="A1879" i="21"/>
  <c r="A1880" i="21"/>
  <c r="A1881" i="21"/>
  <c r="A1882" i="21"/>
  <c r="A1883" i="21"/>
  <c r="A1884" i="21"/>
  <c r="A1885" i="21"/>
  <c r="A1886" i="21"/>
  <c r="A1887" i="21"/>
  <c r="A1888" i="21"/>
  <c r="A1889" i="21"/>
  <c r="A1890" i="21"/>
  <c r="A1891" i="21"/>
  <c r="A1892" i="21"/>
  <c r="A1893" i="21"/>
  <c r="A1894" i="21"/>
  <c r="A1895" i="21"/>
  <c r="A1896" i="21"/>
  <c r="A1897" i="21"/>
  <c r="A1898" i="21"/>
  <c r="A1899" i="21"/>
  <c r="A1900" i="21"/>
  <c r="A1901" i="21"/>
  <c r="A1902" i="21"/>
  <c r="A1903" i="21"/>
  <c r="A1904" i="21"/>
  <c r="A1905" i="21"/>
  <c r="A1906" i="21"/>
  <c r="A1907" i="21"/>
  <c r="A1908" i="21"/>
  <c r="A1909" i="21"/>
  <c r="A1910" i="21"/>
  <c r="A1911" i="21"/>
  <c r="A1912" i="21"/>
  <c r="A1913" i="21"/>
  <c r="A1914" i="21"/>
  <c r="A1915" i="21"/>
  <c r="A1916" i="21"/>
  <c r="A1917" i="21"/>
  <c r="A1918" i="21"/>
  <c r="A1919" i="21"/>
  <c r="A1920" i="21"/>
  <c r="A1921" i="21"/>
  <c r="A1922" i="21"/>
  <c r="A1923" i="21"/>
  <c r="A1924" i="21"/>
  <c r="A1925" i="21"/>
  <c r="A1926" i="21"/>
  <c r="A1927" i="21"/>
  <c r="A1928" i="21"/>
  <c r="A1929" i="21"/>
  <c r="A1930" i="21"/>
  <c r="A1931" i="21"/>
  <c r="A1932" i="21"/>
  <c r="A1933" i="21"/>
  <c r="A1934" i="21"/>
  <c r="A1935" i="21"/>
  <c r="A1936" i="21"/>
  <c r="A1937" i="21"/>
  <c r="A1938" i="21"/>
  <c r="A1939" i="21"/>
  <c r="A1940" i="21"/>
  <c r="A1941" i="21"/>
  <c r="A1942" i="21"/>
  <c r="A1943" i="21"/>
  <c r="A1944" i="21"/>
  <c r="A1945" i="21"/>
  <c r="A1946" i="21"/>
  <c r="A1947" i="21"/>
  <c r="A1948" i="21"/>
  <c r="A1949" i="21"/>
  <c r="A1950" i="21"/>
  <c r="A1951" i="21"/>
  <c r="A1952" i="21"/>
  <c r="A1953" i="21"/>
  <c r="A1954" i="21"/>
  <c r="A1955" i="21"/>
  <c r="A1956" i="21"/>
  <c r="A1957" i="21"/>
  <c r="A1958" i="21"/>
  <c r="A1959" i="21"/>
  <c r="A1960" i="21"/>
  <c r="A1961" i="21"/>
  <c r="A1962" i="21"/>
  <c r="A1963" i="21"/>
  <c r="A1964" i="21"/>
  <c r="A1965" i="21"/>
  <c r="A1966" i="21"/>
  <c r="A1967" i="21"/>
  <c r="A1968" i="21"/>
  <c r="A1969" i="21"/>
  <c r="A1970" i="21"/>
  <c r="A1971" i="21"/>
  <c r="A1972" i="21"/>
  <c r="A1973" i="21"/>
  <c r="A1974" i="21"/>
  <c r="A1975" i="21"/>
  <c r="A1976" i="21"/>
  <c r="A1977" i="21"/>
  <c r="A1978" i="21"/>
  <c r="A1979" i="21"/>
  <c r="A1980" i="21"/>
  <c r="A1981" i="21"/>
  <c r="A1982" i="21"/>
  <c r="A1983" i="21"/>
  <c r="A1984" i="21"/>
  <c r="A1985" i="21"/>
  <c r="A1986" i="21"/>
  <c r="A1987" i="21"/>
  <c r="A1988" i="21"/>
  <c r="A1989" i="21"/>
  <c r="A1990" i="21"/>
  <c r="A1991" i="21"/>
  <c r="A1992" i="21"/>
  <c r="A1993" i="21"/>
  <c r="A1994" i="21"/>
  <c r="A1995" i="21"/>
  <c r="A1996" i="21"/>
  <c r="A1997" i="21"/>
  <c r="A1998" i="21"/>
  <c r="A1999" i="21"/>
  <c r="A2000" i="21"/>
  <c r="A2001" i="21"/>
  <c r="A2002" i="21"/>
  <c r="A2003" i="21"/>
  <c r="A2004" i="21"/>
  <c r="A2005" i="21"/>
  <c r="A2006" i="21"/>
  <c r="A2007" i="21"/>
  <c r="A2008" i="21"/>
  <c r="A2009" i="21"/>
  <c r="A2010" i="21"/>
  <c r="A2011" i="21"/>
  <c r="A2012" i="21"/>
  <c r="A2013" i="21"/>
  <c r="A2014" i="21"/>
  <c r="A2015" i="21"/>
  <c r="A2016" i="21"/>
  <c r="A2017" i="21"/>
  <c r="A2018" i="21"/>
  <c r="A2019" i="21"/>
  <c r="A2020" i="21"/>
  <c r="A2021" i="21"/>
  <c r="A2022" i="21"/>
  <c r="A2023" i="21"/>
  <c r="A2024" i="21"/>
  <c r="A2025" i="21"/>
  <c r="A2026" i="21"/>
  <c r="A2027" i="21"/>
  <c r="A2028" i="21"/>
  <c r="A2029" i="21"/>
  <c r="A2030" i="21"/>
  <c r="A2031" i="21"/>
  <c r="A2032" i="21"/>
  <c r="A2033" i="21"/>
  <c r="A2034" i="21"/>
  <c r="A2035" i="21"/>
  <c r="A2036" i="21"/>
  <c r="A2037" i="21"/>
  <c r="A2038" i="21"/>
  <c r="A2039" i="21"/>
  <c r="A2040" i="21"/>
  <c r="A2041" i="21"/>
  <c r="A2042" i="21"/>
  <c r="A2043" i="21"/>
  <c r="A2044" i="21"/>
  <c r="A2045" i="21"/>
  <c r="A2046" i="21"/>
  <c r="A2047" i="21"/>
  <c r="A2048" i="21"/>
  <c r="A2049" i="21"/>
  <c r="A2050" i="21"/>
  <c r="A2051" i="21"/>
  <c r="A2052" i="21"/>
  <c r="A2053" i="21"/>
  <c r="A2054" i="21"/>
  <c r="A2055" i="21"/>
  <c r="A2056" i="21"/>
  <c r="A2057" i="21"/>
  <c r="A2058" i="21"/>
  <c r="A2059" i="21"/>
  <c r="A2060" i="21"/>
  <c r="A2061" i="21"/>
  <c r="A2062" i="21"/>
  <c r="A2063" i="21"/>
  <c r="A2064" i="21"/>
  <c r="A2065" i="21"/>
  <c r="A2066" i="21"/>
  <c r="A2067" i="21"/>
  <c r="A2068" i="21"/>
  <c r="A2069" i="21"/>
  <c r="A2070" i="21"/>
  <c r="A2071" i="21"/>
  <c r="A2072" i="21"/>
  <c r="A2073" i="21"/>
  <c r="A2074" i="21"/>
  <c r="A2075" i="21"/>
  <c r="A2076" i="21"/>
  <c r="A2077" i="21"/>
  <c r="A2078" i="21"/>
  <c r="A2079" i="21"/>
  <c r="A2080" i="21"/>
  <c r="A2081" i="21"/>
  <c r="A2082" i="21"/>
  <c r="A2083" i="21"/>
  <c r="A2084" i="21"/>
  <c r="A2085" i="21"/>
  <c r="A2086" i="21"/>
  <c r="A2087" i="21"/>
  <c r="A2088" i="21"/>
  <c r="A2089" i="21"/>
  <c r="A2090" i="21"/>
  <c r="A2091" i="21"/>
  <c r="A2092" i="21"/>
  <c r="A2093" i="21"/>
  <c r="A2094" i="21"/>
  <c r="A2095" i="21"/>
  <c r="A2096" i="21"/>
  <c r="A2097" i="21"/>
  <c r="A2098" i="21"/>
  <c r="A2099" i="21"/>
  <c r="A2100" i="21"/>
  <c r="A2101" i="21"/>
  <c r="A2102" i="21"/>
  <c r="A2103" i="21"/>
  <c r="A2104" i="21"/>
  <c r="A2105" i="21"/>
  <c r="A2106" i="21"/>
  <c r="A2107" i="21"/>
  <c r="A2108" i="21"/>
  <c r="A2109" i="21"/>
  <c r="A2110" i="21"/>
  <c r="A2111" i="21"/>
  <c r="A2112" i="21"/>
  <c r="A2113" i="21"/>
  <c r="A2114" i="21"/>
  <c r="A2115" i="21"/>
  <c r="A2116" i="21"/>
  <c r="A2117" i="21"/>
  <c r="A2118" i="21"/>
  <c r="A2119" i="21"/>
  <c r="A2120" i="21"/>
  <c r="A2121" i="21"/>
  <c r="A2122" i="21"/>
  <c r="A2123" i="21"/>
  <c r="A2124" i="21"/>
  <c r="A2125" i="21"/>
  <c r="A2126" i="21"/>
  <c r="A2127" i="21"/>
  <c r="A2128" i="21"/>
  <c r="A2129" i="21"/>
  <c r="A2130" i="21"/>
  <c r="A2131" i="21"/>
  <c r="A2132" i="21"/>
  <c r="A2133" i="21"/>
  <c r="A2134" i="21"/>
  <c r="A2135" i="21"/>
  <c r="A2136" i="21"/>
  <c r="A2137" i="21"/>
  <c r="A2138" i="21"/>
  <c r="A2139" i="21"/>
  <c r="A2140" i="21"/>
  <c r="A2141" i="21"/>
  <c r="A2142" i="21"/>
  <c r="A2143" i="21"/>
  <c r="A2144" i="21"/>
  <c r="A2145" i="21"/>
  <c r="A2146" i="21"/>
  <c r="A2147" i="21"/>
  <c r="A2148" i="21"/>
  <c r="A2149" i="21"/>
  <c r="A2150" i="21"/>
  <c r="A2151" i="21"/>
  <c r="A2152" i="21"/>
  <c r="A2153" i="21"/>
  <c r="A2154" i="21"/>
  <c r="A2155" i="21"/>
  <c r="A2156" i="21"/>
  <c r="A2157" i="21"/>
  <c r="A2158" i="21"/>
  <c r="A2159" i="21"/>
  <c r="A2160" i="21"/>
  <c r="A2161" i="21"/>
  <c r="A2162" i="21"/>
  <c r="A2163" i="21"/>
  <c r="A2164" i="21"/>
  <c r="A2165" i="21"/>
  <c r="A2166" i="21"/>
  <c r="A2167" i="21"/>
  <c r="A2168" i="21"/>
  <c r="A2169" i="21"/>
  <c r="A2170" i="21"/>
  <c r="A2171" i="21"/>
  <c r="A2172" i="21"/>
  <c r="A2173" i="21"/>
  <c r="A2174" i="21"/>
  <c r="A2175" i="21"/>
  <c r="A2176" i="21"/>
  <c r="A2177" i="21"/>
  <c r="A2178" i="21"/>
  <c r="A2179" i="21"/>
  <c r="A2180" i="21"/>
  <c r="A2181" i="21"/>
  <c r="A2182" i="21"/>
  <c r="A2183" i="21"/>
  <c r="A2184" i="21"/>
  <c r="A2185" i="21"/>
  <c r="A2186" i="21"/>
  <c r="A2187" i="21"/>
  <c r="A2188" i="21"/>
  <c r="A2189" i="21"/>
  <c r="A2190" i="21"/>
  <c r="A2191" i="21"/>
  <c r="A2192" i="21"/>
  <c r="A2193" i="21"/>
  <c r="A2194" i="21"/>
  <c r="A2195" i="21"/>
  <c r="A2196" i="21"/>
  <c r="A2197" i="21"/>
  <c r="A2198" i="21"/>
  <c r="A2199" i="21"/>
  <c r="A2200" i="21"/>
  <c r="A2201" i="21"/>
  <c r="A2202" i="21"/>
  <c r="A2203" i="21"/>
  <c r="A2204" i="21"/>
  <c r="A2205" i="21"/>
  <c r="A2206" i="21"/>
  <c r="A2207" i="21"/>
  <c r="A2208" i="21"/>
  <c r="A2209" i="21"/>
  <c r="A2210" i="21"/>
  <c r="A2211" i="21"/>
  <c r="A2212" i="21"/>
  <c r="A2213" i="21"/>
  <c r="A2214" i="21"/>
  <c r="A2215" i="21"/>
  <c r="A2216" i="21"/>
  <c r="A2217" i="21"/>
  <c r="A2218" i="21"/>
  <c r="A2219" i="21"/>
  <c r="A2220" i="21"/>
  <c r="A2221" i="21"/>
  <c r="A2222" i="21"/>
  <c r="A2223" i="21"/>
  <c r="A2224" i="21"/>
  <c r="A2225" i="21"/>
  <c r="A2226" i="21"/>
  <c r="A2227" i="21"/>
  <c r="A2228" i="21"/>
  <c r="A2229" i="21"/>
  <c r="A2230" i="21"/>
  <c r="A2231" i="21"/>
  <c r="A2232" i="21"/>
  <c r="A2233" i="21"/>
  <c r="A2234" i="21"/>
  <c r="A2235" i="21"/>
  <c r="A2236" i="21"/>
  <c r="A2237" i="21"/>
  <c r="A2238" i="21"/>
  <c r="A2239" i="21"/>
  <c r="A2240" i="21"/>
  <c r="A2241" i="21"/>
  <c r="A2242" i="21"/>
  <c r="A2243" i="21"/>
  <c r="A2244" i="21"/>
  <c r="A2245" i="21"/>
  <c r="A2246" i="21"/>
  <c r="A2247" i="21"/>
  <c r="A2248" i="21"/>
  <c r="A2249" i="21"/>
  <c r="A2250" i="21"/>
  <c r="A2251" i="21"/>
  <c r="A2252" i="21"/>
  <c r="A2253" i="21"/>
  <c r="A2254" i="21"/>
  <c r="A2255" i="21"/>
  <c r="A2256" i="21"/>
  <c r="A2257" i="21"/>
  <c r="A2258" i="21"/>
  <c r="A2259" i="21"/>
  <c r="A2260" i="21"/>
  <c r="A2261" i="21"/>
  <c r="A2262" i="21"/>
  <c r="A2263" i="21"/>
  <c r="A2264" i="21"/>
  <c r="A2265" i="21"/>
  <c r="A2266" i="21"/>
  <c r="A2267" i="21"/>
  <c r="A2268" i="21"/>
  <c r="A2269" i="21"/>
  <c r="A2270" i="21"/>
  <c r="A2271" i="21"/>
  <c r="A2272" i="21"/>
  <c r="A2273" i="21"/>
  <c r="A2274" i="21"/>
  <c r="A2275" i="21"/>
  <c r="A2276" i="21"/>
  <c r="A2277" i="21"/>
  <c r="A2278" i="21"/>
  <c r="A2279" i="21"/>
  <c r="A2280" i="21"/>
  <c r="A2281" i="21"/>
  <c r="A2282" i="21"/>
  <c r="A2283" i="21"/>
  <c r="A2284" i="21"/>
  <c r="A2285" i="21"/>
  <c r="A2286" i="21"/>
  <c r="A2287" i="21"/>
  <c r="A2288" i="21"/>
  <c r="A2289" i="21"/>
  <c r="A2290" i="21"/>
  <c r="A2291" i="21"/>
  <c r="A2292" i="21"/>
  <c r="A2293" i="21"/>
  <c r="A2294" i="21"/>
  <c r="A2295" i="21"/>
  <c r="A2296" i="21"/>
  <c r="A2297" i="21"/>
  <c r="A2298" i="21"/>
  <c r="A2299" i="21"/>
  <c r="A2300" i="21"/>
  <c r="A2301" i="21"/>
  <c r="A2302" i="21"/>
  <c r="A2303" i="21"/>
  <c r="A2304" i="21"/>
  <c r="A2305" i="21"/>
  <c r="A2306" i="21"/>
  <c r="A2307" i="21"/>
  <c r="A2308" i="21"/>
  <c r="A2309" i="21"/>
  <c r="A2310" i="21"/>
  <c r="A2311" i="21"/>
  <c r="A2312" i="21"/>
  <c r="A2313" i="21"/>
  <c r="A2314" i="21"/>
  <c r="A2315" i="21"/>
  <c r="A2316" i="21"/>
  <c r="A2317" i="21"/>
  <c r="A2318" i="21"/>
  <c r="A2319" i="21"/>
  <c r="A2320" i="21"/>
  <c r="A2321" i="21"/>
  <c r="A2322" i="21"/>
  <c r="A2323" i="21"/>
  <c r="A2324" i="21"/>
  <c r="A2325" i="21"/>
  <c r="A2326" i="21"/>
  <c r="A2327" i="21"/>
  <c r="A2328" i="21"/>
  <c r="A2329" i="21"/>
  <c r="A2330" i="21"/>
  <c r="A2331" i="21"/>
  <c r="A2332" i="21"/>
  <c r="A2333" i="21"/>
  <c r="A2334" i="21"/>
  <c r="A2335" i="21"/>
  <c r="A2336" i="21"/>
  <c r="A2337" i="21"/>
  <c r="A2338" i="21"/>
  <c r="A2339" i="21"/>
  <c r="A2340" i="21"/>
  <c r="A2341" i="21"/>
  <c r="A2342" i="21"/>
  <c r="A2343" i="21"/>
  <c r="A2344" i="21"/>
  <c r="A2345" i="21"/>
  <c r="A2346" i="21"/>
  <c r="A2347" i="21"/>
  <c r="A2348" i="21"/>
  <c r="A2349" i="21"/>
  <c r="A2350" i="21"/>
  <c r="A2351" i="21"/>
  <c r="A2352" i="21"/>
  <c r="A2353" i="21"/>
  <c r="A2354" i="21"/>
  <c r="A2355" i="21"/>
  <c r="A2356" i="21"/>
  <c r="A2357" i="21"/>
  <c r="A2358" i="21"/>
  <c r="A2359" i="21"/>
  <c r="A2360" i="21"/>
  <c r="A2361" i="21"/>
  <c r="A2362" i="21"/>
  <c r="A2363" i="21"/>
  <c r="A2364" i="21"/>
  <c r="A2365" i="21"/>
  <c r="A2366" i="21"/>
  <c r="A2367" i="21"/>
  <c r="A2368" i="21"/>
  <c r="A2369" i="21"/>
  <c r="A2370" i="21"/>
  <c r="A2371" i="21"/>
  <c r="A2372" i="21"/>
  <c r="A2373" i="21"/>
  <c r="A2374" i="21"/>
  <c r="A2375" i="21"/>
  <c r="A2376" i="21"/>
  <c r="A2377" i="21"/>
  <c r="A2378" i="21"/>
  <c r="A2379" i="21"/>
  <c r="A2380" i="21"/>
  <c r="A2381" i="21"/>
  <c r="A2382" i="21"/>
  <c r="A2383" i="21"/>
  <c r="A2384" i="21"/>
  <c r="A2385" i="21"/>
  <c r="A2386" i="21"/>
  <c r="A2387" i="21"/>
  <c r="A2388" i="21"/>
  <c r="A2389" i="21"/>
  <c r="A2390" i="21"/>
  <c r="A2391" i="21"/>
  <c r="A2392" i="21"/>
  <c r="A2393" i="21"/>
  <c r="A2394" i="21"/>
  <c r="A2395" i="21"/>
  <c r="A2396" i="21"/>
  <c r="A2397" i="21"/>
  <c r="A2398" i="21"/>
  <c r="A2399" i="21"/>
  <c r="A2400" i="21"/>
  <c r="A2401" i="21"/>
  <c r="A2402" i="21"/>
  <c r="A2403" i="21"/>
  <c r="A2404" i="21"/>
  <c r="A2405" i="21"/>
  <c r="A2406" i="21"/>
  <c r="A2407" i="21"/>
  <c r="A2408" i="21"/>
  <c r="A2409" i="21"/>
  <c r="A2410" i="21"/>
  <c r="A2411" i="21"/>
  <c r="A2412" i="21"/>
  <c r="A2413" i="21"/>
  <c r="A2414" i="21"/>
  <c r="A2415" i="21"/>
  <c r="A2416" i="21"/>
  <c r="A2417" i="21"/>
  <c r="A2418" i="21"/>
  <c r="A2419" i="21"/>
  <c r="A2420" i="21"/>
  <c r="A2421" i="21"/>
  <c r="A2422" i="21"/>
  <c r="A2423" i="21"/>
  <c r="A2424" i="21"/>
  <c r="A2425" i="21"/>
  <c r="A2426" i="21"/>
  <c r="A2427" i="21"/>
  <c r="A2428" i="21"/>
  <c r="A2429" i="21"/>
  <c r="A2430" i="21"/>
  <c r="A2431" i="21"/>
  <c r="A2432" i="21"/>
  <c r="A2433" i="21"/>
  <c r="A2434" i="21"/>
  <c r="A2435" i="21"/>
  <c r="A2436" i="21"/>
  <c r="A2437" i="21"/>
  <c r="A2438" i="21"/>
  <c r="A2439" i="21"/>
  <c r="A2440" i="21"/>
  <c r="A2441" i="21"/>
  <c r="A2442" i="21"/>
  <c r="A2443" i="21"/>
  <c r="A2444" i="21"/>
  <c r="A2445" i="21"/>
  <c r="A2446" i="21"/>
  <c r="A2447" i="21"/>
  <c r="A2448" i="21"/>
  <c r="A2449" i="21"/>
  <c r="A2450" i="21"/>
  <c r="A2451" i="21"/>
  <c r="A2452" i="21"/>
  <c r="A2453" i="21"/>
  <c r="A2454" i="21"/>
  <c r="A2455" i="21"/>
  <c r="A2456" i="21"/>
  <c r="A2457" i="21"/>
  <c r="A2458" i="21"/>
  <c r="A2459" i="21"/>
  <c r="A2460" i="21"/>
  <c r="A2461" i="21"/>
  <c r="A2462" i="21"/>
  <c r="A2463" i="21"/>
  <c r="A2464" i="21"/>
  <c r="A2465" i="21"/>
  <c r="A2466" i="21"/>
  <c r="A2467" i="21"/>
  <c r="A2468" i="21"/>
  <c r="A2469" i="21"/>
  <c r="A2470" i="21"/>
  <c r="A2471" i="21"/>
  <c r="A2472" i="21"/>
  <c r="A2473" i="21"/>
  <c r="A2474" i="21"/>
  <c r="A2475" i="21"/>
  <c r="A2476" i="21"/>
  <c r="A2477" i="21"/>
  <c r="A2478" i="21"/>
  <c r="A2479" i="21"/>
  <c r="A2480" i="21"/>
  <c r="A2481" i="21"/>
  <c r="A2482" i="21"/>
  <c r="A2483" i="21"/>
  <c r="A2484" i="21"/>
  <c r="A2485" i="21"/>
  <c r="A2486" i="21"/>
  <c r="A2487" i="21"/>
  <c r="A2488" i="21"/>
  <c r="A2489" i="21"/>
  <c r="A2490" i="21"/>
  <c r="A2491" i="21"/>
  <c r="A2492" i="21"/>
  <c r="A2493" i="21"/>
  <c r="A2494" i="21"/>
  <c r="A2495" i="21"/>
  <c r="A2496" i="21"/>
  <c r="A2497" i="21"/>
  <c r="A2498" i="21"/>
  <c r="A2499" i="21"/>
  <c r="A2500" i="21"/>
  <c r="A2501" i="21"/>
  <c r="A2502" i="21"/>
  <c r="A2503" i="21"/>
  <c r="A2504" i="21"/>
  <c r="A2505" i="21"/>
  <c r="A2506" i="21"/>
  <c r="A2507" i="21"/>
  <c r="A2508" i="21"/>
  <c r="A2509" i="21"/>
  <c r="A2510" i="21"/>
  <c r="A2511" i="21"/>
  <c r="A2512" i="21"/>
  <c r="A2513" i="21"/>
  <c r="A2514" i="21"/>
  <c r="A2515" i="21"/>
  <c r="A2516" i="21"/>
  <c r="A2517" i="21"/>
  <c r="A2518" i="21"/>
  <c r="A2519" i="21"/>
  <c r="A2520" i="21"/>
  <c r="A2521" i="21"/>
  <c r="A2522" i="21"/>
  <c r="A2523" i="21"/>
  <c r="A2524" i="21"/>
  <c r="A2525" i="21"/>
  <c r="A2526" i="21"/>
  <c r="A2527" i="21"/>
  <c r="A2528" i="21"/>
  <c r="A2529" i="21"/>
  <c r="A2530" i="21"/>
  <c r="A2531" i="21"/>
  <c r="A2532" i="21"/>
  <c r="A2533" i="21"/>
  <c r="A2534" i="21"/>
  <c r="A2535" i="21"/>
  <c r="A2536" i="21"/>
  <c r="A2537" i="21"/>
  <c r="A2538" i="21"/>
  <c r="A2539" i="21"/>
  <c r="A2540" i="21"/>
  <c r="A2541" i="21"/>
  <c r="A2542" i="21"/>
  <c r="A2543" i="21"/>
  <c r="A2544" i="21"/>
  <c r="A2545" i="21"/>
  <c r="A2546" i="21"/>
  <c r="A2547" i="21"/>
  <c r="A2548" i="21"/>
  <c r="A2549" i="21"/>
  <c r="A2550" i="21"/>
  <c r="A2551" i="21"/>
  <c r="A2552" i="21"/>
  <c r="A2553" i="21"/>
  <c r="A2554" i="21"/>
  <c r="A2555" i="21"/>
  <c r="A2556" i="21"/>
  <c r="A2557" i="21"/>
  <c r="A2558" i="21"/>
  <c r="A2559" i="21"/>
  <c r="A2560" i="21"/>
  <c r="A2561" i="21"/>
  <c r="A2562" i="21"/>
  <c r="A2563" i="21"/>
  <c r="A2564" i="21"/>
  <c r="A2565" i="21"/>
  <c r="A2566" i="21"/>
  <c r="A2567" i="21"/>
  <c r="A2568" i="21"/>
  <c r="A2569" i="21"/>
  <c r="A2570" i="21"/>
  <c r="A2571" i="21"/>
  <c r="A2572" i="21"/>
  <c r="A2573" i="21"/>
  <c r="A2574" i="21"/>
  <c r="A2575" i="21"/>
  <c r="A2576" i="21"/>
  <c r="A2577" i="21"/>
  <c r="A2578" i="21"/>
  <c r="A2579" i="21"/>
  <c r="A2580" i="21"/>
  <c r="A2581" i="21"/>
  <c r="A2582" i="21"/>
  <c r="A2583" i="21"/>
  <c r="A2584" i="21"/>
  <c r="A2585" i="21"/>
  <c r="A2586" i="21"/>
  <c r="A2587" i="21"/>
  <c r="A2588" i="21"/>
  <c r="A2589" i="21"/>
  <c r="A2590" i="21"/>
  <c r="A2591" i="21"/>
  <c r="A2592" i="21"/>
  <c r="A2593" i="21"/>
  <c r="A2594" i="21"/>
  <c r="A2595" i="21"/>
  <c r="A2596" i="21"/>
  <c r="A2597" i="21"/>
  <c r="A2598" i="21"/>
  <c r="A2599" i="21"/>
  <c r="A2600" i="21"/>
  <c r="A2601" i="21"/>
  <c r="A2602" i="21"/>
  <c r="A2603" i="21"/>
  <c r="A2604" i="21"/>
  <c r="A2605" i="21"/>
  <c r="A2606" i="21"/>
  <c r="A2607" i="21"/>
  <c r="A2608" i="21"/>
  <c r="A2609" i="21"/>
  <c r="A2610" i="21"/>
  <c r="A2611" i="21"/>
  <c r="A2612" i="21"/>
  <c r="A2613" i="21"/>
  <c r="A2614" i="21"/>
  <c r="A2615" i="21"/>
  <c r="A2616" i="21"/>
  <c r="A2617" i="21"/>
  <c r="A2618" i="21"/>
  <c r="A2619" i="21"/>
  <c r="A2620" i="21"/>
  <c r="A2621" i="21"/>
  <c r="A2622" i="21"/>
  <c r="A2623" i="21"/>
  <c r="A2624" i="21"/>
  <c r="A2625" i="21"/>
  <c r="A2626" i="21"/>
  <c r="A2627" i="21"/>
  <c r="A2628" i="21"/>
  <c r="A2629" i="21"/>
  <c r="A2630" i="21"/>
  <c r="A2631" i="21"/>
  <c r="A2632" i="21"/>
  <c r="A2633" i="21"/>
  <c r="A2634" i="21"/>
  <c r="A2635" i="21"/>
  <c r="A2636" i="21"/>
  <c r="A2637" i="21"/>
  <c r="A2638" i="21"/>
  <c r="A2639" i="21"/>
  <c r="A2640" i="21"/>
  <c r="A2641" i="21"/>
  <c r="A2642" i="21"/>
  <c r="A2643" i="21"/>
  <c r="A2644" i="21"/>
  <c r="A2645" i="21"/>
  <c r="A2646" i="21"/>
  <c r="A2647" i="21"/>
  <c r="A2648" i="21"/>
  <c r="A2649" i="21"/>
  <c r="A2650" i="21"/>
  <c r="A2651" i="21"/>
  <c r="A2652" i="21"/>
  <c r="A2653" i="21"/>
  <c r="A2654" i="21"/>
  <c r="A2655" i="21"/>
  <c r="A2656" i="21"/>
  <c r="A2657" i="21"/>
  <c r="A2658" i="21"/>
  <c r="A2659" i="21"/>
  <c r="A2660" i="21"/>
  <c r="A2661" i="21"/>
  <c r="A2662" i="21"/>
  <c r="A2663" i="21"/>
  <c r="A2664" i="21"/>
  <c r="A2665" i="21"/>
  <c r="A2666" i="21"/>
  <c r="A2667" i="21"/>
  <c r="A2668" i="21"/>
  <c r="A2669" i="21"/>
  <c r="A2670" i="21"/>
  <c r="A2671" i="21"/>
  <c r="A2672" i="21"/>
  <c r="A2673" i="21"/>
  <c r="A2674" i="21"/>
  <c r="A2675" i="21"/>
  <c r="A2676" i="21"/>
  <c r="A2677" i="21"/>
  <c r="A2678" i="21"/>
  <c r="A2679" i="21"/>
  <c r="A2680" i="21"/>
  <c r="A2681" i="21"/>
  <c r="A2682" i="21"/>
  <c r="A2683" i="21"/>
  <c r="A2684" i="21"/>
  <c r="A2685" i="21"/>
  <c r="A2686" i="21"/>
  <c r="A2687" i="21"/>
  <c r="A2688" i="21"/>
  <c r="A2689" i="21"/>
  <c r="A2690" i="21"/>
  <c r="A2691" i="21"/>
  <c r="A2692" i="21"/>
  <c r="A2693" i="21"/>
  <c r="A2694" i="21"/>
  <c r="A2695" i="21"/>
  <c r="A2696" i="21"/>
  <c r="A2697" i="21"/>
  <c r="A2698" i="21"/>
  <c r="A2699" i="21"/>
  <c r="A2700" i="21"/>
  <c r="A2701" i="21"/>
  <c r="A2702" i="21"/>
  <c r="A2703" i="21"/>
  <c r="A2704" i="21"/>
  <c r="A2705" i="21"/>
  <c r="A2706" i="21"/>
  <c r="A2707" i="21"/>
  <c r="A2708" i="21"/>
  <c r="A2709" i="21"/>
  <c r="A2710" i="21"/>
  <c r="A2711" i="21"/>
  <c r="A2712" i="21"/>
  <c r="A2713" i="21"/>
  <c r="A2714" i="21"/>
  <c r="A2715" i="21"/>
  <c r="A2716" i="21"/>
  <c r="A2717" i="21"/>
  <c r="A2718" i="21"/>
  <c r="A2719" i="21"/>
  <c r="A2720" i="21"/>
  <c r="A2721" i="21"/>
  <c r="A2722" i="21"/>
  <c r="A2723" i="21"/>
  <c r="A2724" i="21"/>
  <c r="A2725" i="21"/>
  <c r="A2726" i="21"/>
  <c r="A2727" i="21"/>
  <c r="A2728" i="21"/>
  <c r="A2729" i="21"/>
  <c r="A2730" i="21"/>
  <c r="A2731" i="21"/>
  <c r="A2732" i="21"/>
  <c r="A2733" i="21"/>
  <c r="A2734" i="21"/>
  <c r="A2735" i="21"/>
  <c r="A2736" i="21"/>
  <c r="A2737" i="21"/>
  <c r="A2738" i="21"/>
  <c r="A2739" i="21"/>
  <c r="A2740" i="21"/>
  <c r="A2741" i="21"/>
  <c r="A2742" i="21"/>
  <c r="A2743" i="21"/>
  <c r="A2744" i="21"/>
  <c r="A2745" i="21"/>
  <c r="A2746" i="21"/>
  <c r="A2747" i="21"/>
  <c r="A2748" i="21"/>
  <c r="A2749" i="21"/>
  <c r="A2750" i="21"/>
  <c r="A2751" i="21"/>
  <c r="A2752" i="21"/>
  <c r="A2753" i="21"/>
  <c r="A2754" i="21"/>
  <c r="A2755" i="21"/>
  <c r="A2756" i="21"/>
  <c r="A2757" i="21"/>
  <c r="A2758" i="21"/>
  <c r="A2759" i="21"/>
  <c r="A2760" i="21"/>
  <c r="A2761" i="21"/>
  <c r="A2762" i="21"/>
  <c r="A2763" i="21"/>
  <c r="A2764" i="21"/>
  <c r="A2765" i="21"/>
  <c r="A2766" i="21"/>
  <c r="A2767" i="21"/>
  <c r="A2768" i="21"/>
  <c r="A2769" i="21"/>
  <c r="A2770" i="21"/>
  <c r="A2771" i="21"/>
  <c r="A2772" i="21"/>
  <c r="A2773" i="21"/>
  <c r="A2774" i="21"/>
  <c r="A2775" i="21"/>
  <c r="A2776" i="21"/>
  <c r="A2777" i="21"/>
  <c r="A2778" i="21"/>
  <c r="A2779" i="21"/>
  <c r="A2780" i="21"/>
  <c r="A2781" i="21"/>
  <c r="A2782" i="21"/>
  <c r="A2783" i="21"/>
  <c r="A2784" i="21"/>
  <c r="A2785" i="21"/>
  <c r="A2786" i="21"/>
  <c r="A2787" i="21"/>
  <c r="A2788" i="21"/>
  <c r="A2789" i="21"/>
  <c r="A2790" i="21"/>
  <c r="A2791" i="21"/>
  <c r="A2792" i="21"/>
  <c r="A2793" i="21"/>
  <c r="A2794" i="21"/>
  <c r="A2795" i="21"/>
  <c r="A2796" i="21"/>
  <c r="A2797" i="21"/>
  <c r="A2798" i="21"/>
  <c r="A2799" i="21"/>
  <c r="A2800" i="21"/>
  <c r="A2801" i="21"/>
  <c r="A2802" i="21"/>
  <c r="A2803" i="21"/>
  <c r="A2804" i="21"/>
  <c r="A2805" i="21"/>
  <c r="A2806" i="21"/>
  <c r="A2807" i="21"/>
  <c r="A2808" i="21"/>
  <c r="A2809" i="21"/>
  <c r="A2810" i="21"/>
  <c r="A2811" i="21"/>
  <c r="A2812" i="21"/>
  <c r="A2813" i="21"/>
  <c r="A2814" i="21"/>
  <c r="A2815" i="21"/>
  <c r="A2816" i="21"/>
  <c r="A2817" i="21"/>
  <c r="A2818" i="21"/>
  <c r="A2819" i="21"/>
  <c r="A2820" i="21"/>
  <c r="A2821" i="21"/>
  <c r="A2822" i="21"/>
  <c r="A2823" i="21"/>
  <c r="A2824" i="21"/>
  <c r="A2825" i="21"/>
  <c r="A2826" i="21"/>
  <c r="A2827" i="21"/>
  <c r="A2828" i="21"/>
  <c r="A2829" i="21"/>
  <c r="A2830" i="21"/>
  <c r="A2831" i="21"/>
  <c r="A2832" i="21"/>
  <c r="A2833" i="21"/>
  <c r="A2834" i="21"/>
  <c r="A2835" i="21"/>
  <c r="A2836" i="21"/>
  <c r="A2837" i="21"/>
  <c r="A2838" i="21"/>
  <c r="A2839" i="21"/>
  <c r="A2840" i="21"/>
  <c r="A2841" i="21"/>
  <c r="A2842" i="21"/>
  <c r="A2843" i="21"/>
  <c r="A2844" i="21"/>
  <c r="A2845" i="21"/>
  <c r="A2846" i="21"/>
  <c r="A2847" i="21"/>
  <c r="A2848" i="21"/>
  <c r="A2849" i="21"/>
  <c r="A2850" i="21"/>
  <c r="A2851" i="21"/>
  <c r="A2852" i="21"/>
  <c r="A2853" i="21"/>
  <c r="A2854" i="21"/>
  <c r="A2855" i="21"/>
  <c r="A2856" i="21"/>
  <c r="A2857" i="21"/>
  <c r="A2858" i="21"/>
  <c r="A2859" i="21"/>
  <c r="A2860" i="21"/>
  <c r="A2861" i="21"/>
  <c r="A2862" i="21"/>
  <c r="A2863" i="21"/>
  <c r="A2864" i="21"/>
  <c r="A2865" i="21"/>
  <c r="A2866" i="21"/>
  <c r="A2867" i="21"/>
  <c r="A2868" i="21"/>
  <c r="A2869" i="21"/>
  <c r="A2870" i="21"/>
  <c r="A2871" i="21"/>
  <c r="A2872" i="21"/>
  <c r="A2873" i="21"/>
  <c r="A2874" i="21"/>
  <c r="A2875" i="21"/>
  <c r="A2876" i="21"/>
  <c r="A2877" i="21"/>
  <c r="A2878" i="21"/>
  <c r="A2879" i="21"/>
  <c r="A2880" i="21"/>
  <c r="A2881" i="21"/>
  <c r="A2882" i="21"/>
  <c r="A2883" i="21"/>
  <c r="A2884" i="21"/>
  <c r="A2885" i="21"/>
  <c r="A2886" i="21"/>
  <c r="A2887" i="21"/>
  <c r="A2888" i="21"/>
  <c r="A2889" i="21"/>
  <c r="A2890" i="21"/>
  <c r="A2891" i="21"/>
  <c r="A2892" i="21"/>
  <c r="A2893" i="21"/>
  <c r="A2894" i="21"/>
  <c r="A2895" i="21"/>
  <c r="A2896" i="21"/>
  <c r="A2897" i="21"/>
  <c r="A2898" i="21"/>
  <c r="A2899" i="21"/>
  <c r="A2900" i="21"/>
  <c r="A2901" i="21"/>
  <c r="A2902" i="21"/>
  <c r="A2903" i="21"/>
  <c r="A2904" i="21"/>
  <c r="A2905" i="21"/>
  <c r="A2906" i="21"/>
  <c r="A2907" i="21"/>
  <c r="A2908" i="21"/>
  <c r="A2909" i="21"/>
  <c r="A2910" i="21"/>
  <c r="A2911" i="21"/>
  <c r="A2912" i="21"/>
  <c r="A2913" i="21"/>
  <c r="A2914" i="21"/>
  <c r="A2915" i="21"/>
  <c r="A2916" i="21"/>
  <c r="A2917" i="21"/>
  <c r="A2918" i="21"/>
  <c r="A2919" i="21"/>
  <c r="A2920" i="21"/>
  <c r="A2921" i="21"/>
  <c r="A2922" i="21"/>
  <c r="A2923" i="21"/>
  <c r="A2924" i="21"/>
  <c r="A2925" i="21"/>
  <c r="A2926" i="21"/>
  <c r="A2927" i="21"/>
  <c r="A2928" i="21"/>
  <c r="A2929" i="21"/>
  <c r="A2930" i="21"/>
  <c r="A2931" i="21"/>
  <c r="A2932" i="21"/>
  <c r="A2933" i="21"/>
  <c r="A2934" i="21"/>
  <c r="A2935" i="21"/>
  <c r="A2936" i="21"/>
  <c r="A2937" i="21"/>
  <c r="A2938" i="21"/>
  <c r="A2939" i="21"/>
  <c r="A2940" i="21"/>
  <c r="A2941" i="21"/>
  <c r="A2942" i="21"/>
  <c r="A2943" i="21"/>
  <c r="A2944" i="21"/>
  <c r="A2945" i="21"/>
  <c r="A2946" i="21"/>
  <c r="A2947" i="21"/>
  <c r="A2948" i="21"/>
  <c r="A2949" i="21"/>
  <c r="A2950" i="21"/>
  <c r="A2951" i="21"/>
  <c r="A2952" i="21"/>
  <c r="A2953" i="21"/>
  <c r="A2954" i="21"/>
  <c r="A2955" i="21"/>
  <c r="A2956" i="21"/>
  <c r="A2957" i="21"/>
  <c r="A2958" i="21"/>
  <c r="A2959" i="21"/>
  <c r="A2960" i="21"/>
  <c r="A2961" i="21"/>
  <c r="A2962" i="21"/>
  <c r="A2963" i="21"/>
  <c r="A2964" i="21"/>
  <c r="A2965" i="21"/>
  <c r="A2966" i="21"/>
  <c r="A2967" i="21"/>
  <c r="A2968" i="21"/>
  <c r="A2969" i="21"/>
  <c r="A2970" i="21"/>
  <c r="A2971" i="21"/>
  <c r="A2972" i="21"/>
  <c r="A2973" i="21"/>
  <c r="A2974" i="21"/>
  <c r="A2975" i="21"/>
  <c r="A2976" i="21"/>
  <c r="A2977" i="21"/>
  <c r="A2978" i="21"/>
  <c r="A2979" i="21"/>
  <c r="A2980" i="21"/>
  <c r="A2981" i="21"/>
  <c r="A2982" i="21"/>
  <c r="A2983" i="21"/>
  <c r="A2984" i="21"/>
  <c r="A2985" i="21"/>
  <c r="A2986" i="21"/>
  <c r="A2987" i="21"/>
  <c r="A2988" i="21"/>
  <c r="A2989" i="21"/>
  <c r="A2990" i="21"/>
  <c r="A2991" i="21"/>
  <c r="A2992" i="21"/>
  <c r="A2993" i="21"/>
  <c r="A2994" i="21"/>
  <c r="A2995" i="21"/>
  <c r="A2996" i="21"/>
  <c r="A2997" i="21"/>
  <c r="A2998" i="21"/>
  <c r="A2999" i="21"/>
  <c r="A3000" i="21"/>
  <c r="A3001" i="21"/>
  <c r="A3002" i="21"/>
  <c r="A3003" i="21"/>
  <c r="A3004" i="21"/>
  <c r="A3005" i="21"/>
  <c r="A3006" i="21"/>
  <c r="A3007" i="21"/>
  <c r="A3008" i="21"/>
  <c r="A3009" i="21"/>
  <c r="A3010" i="21"/>
  <c r="A3011" i="21"/>
  <c r="A3012" i="21"/>
  <c r="A3013" i="21"/>
  <c r="A3014" i="21"/>
  <c r="A3015" i="21"/>
  <c r="A3016" i="21"/>
  <c r="A3017" i="21"/>
  <c r="A3018" i="21"/>
  <c r="A3019" i="21"/>
  <c r="A3020" i="21"/>
  <c r="A3021" i="21"/>
  <c r="A3022" i="21"/>
  <c r="A3023" i="21"/>
  <c r="A3024" i="21"/>
  <c r="A3025" i="21"/>
  <c r="A3026" i="21"/>
  <c r="A3027" i="21"/>
  <c r="A3028" i="21"/>
  <c r="A3029" i="21"/>
  <c r="A3030" i="21"/>
  <c r="A3031" i="21"/>
  <c r="A3032" i="21"/>
  <c r="A3033" i="21"/>
  <c r="A3034" i="21"/>
  <c r="A3035" i="21"/>
  <c r="A3036" i="21"/>
  <c r="A3037" i="21"/>
  <c r="A3038" i="21"/>
  <c r="A3039" i="21"/>
  <c r="A3040" i="21"/>
  <c r="A3041" i="21"/>
  <c r="A3042" i="21"/>
  <c r="A3043" i="21"/>
  <c r="A3044" i="21"/>
  <c r="A3045" i="21"/>
  <c r="A3046" i="21"/>
  <c r="A3047" i="21"/>
  <c r="A3048" i="21"/>
  <c r="A3049" i="21"/>
  <c r="A3050" i="21"/>
  <c r="A3051" i="21"/>
  <c r="A3052" i="21"/>
  <c r="A3053" i="21"/>
  <c r="A3054" i="21"/>
  <c r="A3055" i="21"/>
  <c r="A3056" i="21"/>
  <c r="A3057" i="21"/>
  <c r="A3058" i="21"/>
  <c r="A3059" i="21"/>
  <c r="A3060" i="21"/>
  <c r="A3061" i="21"/>
  <c r="A3062" i="21"/>
  <c r="A3063" i="21"/>
  <c r="A3064" i="21"/>
  <c r="A3065" i="21"/>
  <c r="A3066" i="21"/>
  <c r="A3067" i="21"/>
  <c r="A3068" i="21"/>
  <c r="A3069" i="21"/>
  <c r="A3070" i="21"/>
  <c r="A3071" i="21"/>
  <c r="A3072" i="21"/>
  <c r="A3073" i="21"/>
  <c r="A3074" i="21"/>
  <c r="A3075" i="21"/>
  <c r="A3076" i="21"/>
  <c r="A3077" i="21"/>
  <c r="A3078" i="21"/>
  <c r="A3079" i="21"/>
  <c r="A3080" i="21"/>
  <c r="A3081" i="21"/>
  <c r="A3082" i="21"/>
  <c r="A3083" i="21"/>
  <c r="A3084" i="21"/>
  <c r="A3085" i="21"/>
  <c r="A3086" i="21"/>
  <c r="A3087" i="21"/>
  <c r="A3088" i="21"/>
  <c r="A3089" i="21"/>
  <c r="A3090" i="21"/>
  <c r="A3091" i="21"/>
  <c r="A3092" i="21"/>
  <c r="A3093" i="21"/>
  <c r="A3094" i="21"/>
  <c r="A3095" i="21"/>
  <c r="A3096" i="21"/>
  <c r="A3097" i="21"/>
  <c r="A3098" i="21"/>
  <c r="A3099" i="21"/>
  <c r="A3100" i="21"/>
  <c r="A3101" i="21"/>
  <c r="A3102" i="21"/>
  <c r="A3103" i="21"/>
  <c r="A3104" i="21"/>
  <c r="A3105" i="21"/>
  <c r="A3106" i="21"/>
  <c r="A3107" i="21"/>
  <c r="A3108" i="21"/>
  <c r="A3109" i="21"/>
  <c r="A3110" i="21"/>
  <c r="A3111" i="21"/>
  <c r="A3112" i="21"/>
  <c r="A3113" i="21"/>
  <c r="A3114" i="21"/>
  <c r="A3115" i="21"/>
  <c r="A3116" i="21"/>
  <c r="A3117" i="21"/>
  <c r="A3118" i="21"/>
  <c r="A3119" i="21"/>
  <c r="A3120" i="21"/>
  <c r="A3121" i="21"/>
  <c r="A3122" i="21"/>
  <c r="A3123" i="21"/>
  <c r="A3124" i="21"/>
  <c r="A3125" i="21"/>
  <c r="A3126" i="21"/>
  <c r="A3127" i="21"/>
  <c r="A3128" i="21"/>
  <c r="A3129" i="21"/>
  <c r="A3130" i="21"/>
  <c r="A3131" i="21"/>
  <c r="A3132" i="21"/>
  <c r="A3133" i="21"/>
  <c r="A3134" i="21"/>
  <c r="A3135" i="21"/>
  <c r="A3136" i="21"/>
  <c r="A3137" i="21"/>
  <c r="A3138" i="21"/>
  <c r="A3139" i="21"/>
  <c r="A3140" i="21"/>
  <c r="A3141" i="21"/>
  <c r="A3142" i="21"/>
  <c r="A3143" i="21"/>
  <c r="A3144" i="21"/>
  <c r="A3145" i="21"/>
  <c r="A3146" i="21"/>
  <c r="A3147" i="21"/>
  <c r="A3148" i="21"/>
  <c r="A3149" i="21"/>
  <c r="A3150" i="21"/>
  <c r="A3151" i="21"/>
  <c r="A3152" i="21"/>
  <c r="A3153" i="21"/>
  <c r="A3154" i="21"/>
  <c r="A3155" i="21"/>
  <c r="A3156" i="21"/>
  <c r="A3157" i="21"/>
  <c r="A3158" i="21"/>
  <c r="A3159" i="21"/>
  <c r="A3160" i="21"/>
  <c r="A3161" i="21"/>
  <c r="A3162" i="21"/>
  <c r="A3163" i="21"/>
  <c r="A3164" i="21"/>
  <c r="A3165" i="21"/>
  <c r="A3166" i="21"/>
  <c r="A3167" i="21"/>
  <c r="A3168" i="21"/>
  <c r="A3169" i="21"/>
  <c r="A3170" i="21"/>
  <c r="A3171" i="21"/>
  <c r="A3172" i="21"/>
  <c r="A3173" i="21"/>
  <c r="A3174" i="21"/>
  <c r="A3175" i="21"/>
  <c r="A3176" i="21"/>
  <c r="A3177" i="21"/>
  <c r="A3178" i="21"/>
  <c r="A3179" i="21"/>
  <c r="A3180" i="21"/>
  <c r="A3181" i="21"/>
  <c r="A3182" i="21"/>
  <c r="A3183" i="21"/>
  <c r="A3184" i="21"/>
  <c r="A3185" i="21"/>
  <c r="A3186" i="21"/>
  <c r="A3187" i="21"/>
  <c r="A3188" i="21"/>
  <c r="A3189" i="21"/>
  <c r="A3190" i="21"/>
  <c r="A3191" i="21"/>
  <c r="A3192" i="21"/>
  <c r="A3193" i="21"/>
  <c r="A3194" i="21"/>
  <c r="A3195" i="21"/>
  <c r="A3196" i="21"/>
  <c r="A3197" i="21"/>
  <c r="A3198" i="21"/>
  <c r="A3199" i="21"/>
  <c r="A3200" i="21"/>
  <c r="A3201" i="21"/>
  <c r="A3202" i="21"/>
  <c r="A3203" i="21"/>
  <c r="A3204" i="21"/>
  <c r="A3205" i="21"/>
  <c r="A3206" i="21"/>
  <c r="A3207" i="21"/>
  <c r="A3208" i="21"/>
  <c r="A3209" i="21"/>
  <c r="A3210" i="21"/>
  <c r="A3211" i="21"/>
  <c r="A3212" i="21"/>
  <c r="A3213" i="21"/>
  <c r="A3214" i="21"/>
  <c r="A3215" i="21"/>
  <c r="A3216" i="21"/>
  <c r="A3217" i="21"/>
  <c r="A3218" i="21"/>
  <c r="A3219" i="21"/>
  <c r="A3220" i="21"/>
  <c r="A3221" i="21"/>
  <c r="A3222" i="21"/>
  <c r="A3223" i="21"/>
  <c r="A3224" i="21"/>
  <c r="A3225" i="21"/>
  <c r="A3226" i="21"/>
  <c r="A3227" i="21"/>
  <c r="A3228" i="21"/>
  <c r="A3229" i="21"/>
  <c r="A3230" i="21"/>
  <c r="A3231" i="21"/>
  <c r="A3232" i="21"/>
  <c r="A3233" i="21"/>
  <c r="A3234" i="21"/>
  <c r="A3235" i="21"/>
  <c r="A3236" i="21"/>
  <c r="A3237" i="21"/>
  <c r="A3238" i="21"/>
  <c r="A3239" i="21"/>
  <c r="A3240" i="21"/>
  <c r="A3241" i="21"/>
  <c r="A3242" i="21"/>
  <c r="A3243" i="21"/>
  <c r="A3244" i="21"/>
  <c r="A3245" i="21"/>
  <c r="A3246" i="21"/>
  <c r="A3247" i="21"/>
  <c r="A3248" i="21"/>
  <c r="A3249" i="21"/>
  <c r="A3250" i="21"/>
  <c r="A3251" i="21"/>
  <c r="A3252" i="21"/>
  <c r="A3253" i="21"/>
  <c r="A3254" i="21"/>
  <c r="A3255" i="21"/>
  <c r="A3256" i="21"/>
  <c r="A3257" i="21"/>
  <c r="A3258" i="21"/>
  <c r="A3259" i="21"/>
  <c r="A3260" i="21"/>
  <c r="A3261" i="21"/>
  <c r="A3262" i="21"/>
  <c r="A3263" i="21"/>
  <c r="A3264" i="21"/>
  <c r="A3265" i="21"/>
  <c r="A3266" i="21"/>
  <c r="A3267" i="21"/>
  <c r="A3268" i="21"/>
  <c r="A3269" i="21"/>
  <c r="A3270" i="21"/>
  <c r="A3271" i="21"/>
  <c r="A3272" i="21"/>
  <c r="A3273" i="21"/>
  <c r="A3274" i="21"/>
  <c r="A3275" i="21"/>
  <c r="A3276" i="21"/>
  <c r="A3277" i="21"/>
  <c r="A3278" i="21"/>
  <c r="A3279" i="21"/>
  <c r="A3280" i="21"/>
  <c r="A3281" i="21"/>
  <c r="A3282" i="21"/>
  <c r="A3283" i="21"/>
  <c r="A3284" i="21"/>
  <c r="A3285" i="21"/>
  <c r="A3286" i="21"/>
  <c r="A3287" i="21"/>
  <c r="A3288" i="21"/>
  <c r="A3289" i="21"/>
  <c r="A3290" i="21"/>
  <c r="A3291" i="21"/>
  <c r="A3292" i="21"/>
  <c r="A3293" i="21"/>
  <c r="A3294" i="21"/>
  <c r="A3295" i="21"/>
  <c r="A3296" i="21"/>
  <c r="A3297" i="21"/>
  <c r="A3298" i="21"/>
  <c r="A3299" i="21"/>
  <c r="A3300" i="21"/>
  <c r="A3301" i="21"/>
  <c r="A3302" i="21"/>
  <c r="A3303" i="21"/>
  <c r="A3304" i="21"/>
  <c r="A3305" i="21"/>
  <c r="A3306" i="21"/>
  <c r="A3307" i="21"/>
  <c r="A3308" i="21"/>
  <c r="A3309" i="21"/>
  <c r="A3310" i="21"/>
  <c r="A3311" i="21"/>
  <c r="A3312" i="21"/>
  <c r="A3313" i="21"/>
  <c r="A3314" i="21"/>
  <c r="A3315" i="21"/>
  <c r="A3316" i="21"/>
  <c r="A3317" i="21"/>
  <c r="A3318" i="21"/>
  <c r="A3319" i="21"/>
  <c r="A3320" i="21"/>
  <c r="A3321" i="21"/>
  <c r="A3322" i="21"/>
  <c r="A3323" i="21"/>
  <c r="A3324" i="21"/>
  <c r="A3325" i="21"/>
  <c r="A3326" i="21"/>
  <c r="A3327" i="21"/>
  <c r="A3328" i="21"/>
  <c r="A3329" i="21"/>
  <c r="A3330" i="21"/>
  <c r="A3331" i="21"/>
  <c r="A3332" i="21"/>
  <c r="A3333" i="21"/>
  <c r="A3334" i="21"/>
  <c r="A3335" i="21"/>
  <c r="A3336" i="21"/>
  <c r="A3337" i="21"/>
  <c r="A3338" i="21"/>
  <c r="A3339" i="21"/>
  <c r="A3340" i="21"/>
  <c r="A3341" i="21"/>
  <c r="A3342" i="21"/>
  <c r="A3343" i="21"/>
  <c r="A3344" i="21"/>
  <c r="A3345" i="21"/>
  <c r="A3346" i="21"/>
  <c r="A3347" i="21"/>
  <c r="A3348" i="21"/>
  <c r="A3349" i="21"/>
  <c r="A3350" i="21"/>
  <c r="A3351" i="21"/>
  <c r="A3352" i="21"/>
  <c r="A3353" i="21"/>
  <c r="A3354" i="21"/>
  <c r="A3355" i="21"/>
  <c r="A3356" i="21"/>
  <c r="A3357" i="21"/>
  <c r="A3358" i="21"/>
  <c r="A3359" i="21"/>
  <c r="A3360" i="21"/>
  <c r="A3361" i="21"/>
  <c r="A3362" i="21"/>
  <c r="A3363" i="21"/>
  <c r="A3364" i="21"/>
  <c r="A3365" i="21"/>
  <c r="A3366" i="21"/>
  <c r="A3367" i="21"/>
  <c r="A3368" i="21"/>
  <c r="A3369" i="21"/>
  <c r="A3370" i="21"/>
  <c r="A3371" i="21"/>
  <c r="A3372" i="21"/>
  <c r="A3373" i="21"/>
  <c r="A3374" i="21"/>
  <c r="A3375" i="21"/>
  <c r="A3376" i="21"/>
  <c r="A3377" i="21"/>
  <c r="A3378" i="21"/>
  <c r="A3379" i="21"/>
  <c r="A3380" i="21"/>
  <c r="A3381" i="21"/>
  <c r="A3382" i="21"/>
  <c r="A3383" i="21"/>
  <c r="A3384" i="21"/>
  <c r="A3385" i="21"/>
  <c r="A3386" i="21"/>
  <c r="A3387" i="21"/>
  <c r="A3388" i="21"/>
  <c r="A3389" i="21"/>
  <c r="A3390" i="21"/>
  <c r="A3391" i="21"/>
  <c r="A3392" i="21"/>
  <c r="A3393" i="21"/>
  <c r="A3394" i="21"/>
  <c r="A3395" i="21"/>
  <c r="A3396" i="21"/>
  <c r="A3397" i="21"/>
  <c r="A3398" i="21"/>
  <c r="A3399" i="21"/>
  <c r="A3400" i="21"/>
  <c r="A3401" i="21"/>
  <c r="A3402" i="21"/>
  <c r="A3403" i="21"/>
  <c r="A3404" i="21"/>
  <c r="A3405" i="21"/>
  <c r="A3406" i="21"/>
  <c r="A3407" i="21"/>
  <c r="A3408" i="21"/>
  <c r="A3409" i="21"/>
  <c r="A3410" i="21"/>
  <c r="A3411" i="21"/>
  <c r="A3412" i="21"/>
  <c r="A3413" i="21"/>
  <c r="A3414" i="21"/>
  <c r="A3415" i="21"/>
  <c r="A3416" i="21"/>
  <c r="A3417" i="21"/>
  <c r="A3418" i="21"/>
  <c r="A3419" i="21"/>
  <c r="A3420" i="21"/>
  <c r="A3421" i="21"/>
  <c r="A3422" i="21"/>
  <c r="A3423" i="21"/>
  <c r="A3424" i="21"/>
  <c r="A3425" i="21"/>
  <c r="A3426" i="21"/>
  <c r="A3427" i="21"/>
  <c r="A3428" i="21"/>
  <c r="A3429" i="21"/>
  <c r="A3430" i="21"/>
  <c r="A3431" i="21"/>
  <c r="A3432" i="21"/>
  <c r="A3433" i="21"/>
  <c r="A3434" i="21"/>
  <c r="A3435" i="21"/>
  <c r="A3436" i="21"/>
  <c r="A3437" i="21"/>
  <c r="A3438" i="21"/>
  <c r="A3439" i="21"/>
  <c r="A3440" i="21"/>
  <c r="A3441" i="21"/>
  <c r="A3442" i="21"/>
  <c r="A3443" i="21"/>
  <c r="A3444" i="21"/>
  <c r="A3445" i="21"/>
  <c r="A3446" i="21"/>
  <c r="A3447" i="21"/>
  <c r="A3448" i="21"/>
  <c r="A3449" i="21"/>
  <c r="A3450" i="21"/>
  <c r="A3451" i="21"/>
  <c r="A3452" i="21"/>
  <c r="A3453" i="21"/>
  <c r="A3454" i="21"/>
  <c r="A3455" i="21"/>
  <c r="A3456" i="21"/>
  <c r="A3457" i="21"/>
  <c r="A3458" i="21"/>
  <c r="A3459" i="21"/>
  <c r="A3460" i="21"/>
  <c r="A3461" i="21"/>
  <c r="A3462" i="21"/>
  <c r="A3463" i="21"/>
  <c r="A3464" i="21"/>
  <c r="A3465" i="21"/>
  <c r="A3466" i="21"/>
  <c r="A3467" i="21"/>
  <c r="A3468" i="21"/>
  <c r="A3469" i="21"/>
  <c r="A3470" i="21"/>
  <c r="A3471" i="21"/>
  <c r="A3472" i="21"/>
  <c r="A3473" i="21"/>
  <c r="A3474" i="21"/>
  <c r="A3475" i="21"/>
  <c r="A3476" i="21"/>
  <c r="A3477" i="21"/>
  <c r="A3478" i="21"/>
  <c r="A3479" i="21"/>
  <c r="A3480" i="21"/>
  <c r="A3481" i="21"/>
  <c r="A3482" i="21"/>
  <c r="A3483" i="21"/>
  <c r="A3484" i="21"/>
  <c r="A3485" i="21"/>
  <c r="A3486" i="21"/>
  <c r="A3487" i="21"/>
  <c r="A3488" i="21"/>
  <c r="A3489" i="21"/>
  <c r="A3490" i="21"/>
  <c r="A3491" i="21"/>
  <c r="A3492" i="21"/>
  <c r="A3493" i="21"/>
  <c r="A3494" i="21"/>
  <c r="A3495" i="21"/>
  <c r="A3496" i="21"/>
  <c r="A3497" i="21"/>
  <c r="A3498" i="21"/>
  <c r="A3499" i="21"/>
  <c r="A3500" i="21"/>
  <c r="A3501" i="21"/>
  <c r="A3502" i="21"/>
  <c r="A3503" i="21"/>
  <c r="A3504" i="21"/>
  <c r="A3505" i="21"/>
  <c r="A3506" i="21"/>
  <c r="A3507" i="21"/>
  <c r="A3508" i="21"/>
  <c r="A3509" i="21"/>
  <c r="A3510" i="21"/>
  <c r="A3511" i="21"/>
  <c r="A3512" i="21"/>
  <c r="A3513" i="21"/>
  <c r="A3514" i="21"/>
  <c r="A3515" i="21"/>
  <c r="A3516" i="21"/>
  <c r="A3517" i="21"/>
  <c r="A3518" i="21"/>
  <c r="A3519" i="21"/>
  <c r="A3520" i="21"/>
  <c r="A3521" i="21"/>
  <c r="A3522" i="21"/>
  <c r="A3523" i="21"/>
  <c r="A3524" i="21"/>
  <c r="A3525" i="21"/>
  <c r="A3526" i="21"/>
  <c r="A3527" i="21"/>
  <c r="A3528" i="21"/>
  <c r="A3529" i="21"/>
  <c r="A3530" i="21"/>
  <c r="A3531" i="21"/>
  <c r="A3532" i="21"/>
  <c r="A3533" i="21"/>
  <c r="A3534" i="21"/>
  <c r="A3535" i="21"/>
  <c r="A3536" i="21"/>
  <c r="A3537" i="21"/>
  <c r="A3538" i="21"/>
  <c r="A3539" i="21"/>
  <c r="A3540" i="21"/>
  <c r="A3541" i="21"/>
  <c r="A3542" i="21"/>
  <c r="A3543" i="21"/>
  <c r="A3544" i="21"/>
  <c r="A3545" i="21"/>
  <c r="A3546" i="21"/>
  <c r="A3547" i="21"/>
  <c r="A3548" i="21"/>
  <c r="A3549" i="21"/>
  <c r="A3550" i="21"/>
  <c r="A3551" i="21"/>
  <c r="A3552" i="21"/>
  <c r="A3553" i="21"/>
  <c r="A3554" i="21"/>
  <c r="A3555" i="21"/>
  <c r="A3556" i="21"/>
  <c r="A3557" i="21"/>
  <c r="A3558" i="21"/>
  <c r="A3559" i="21"/>
  <c r="A3560" i="21"/>
  <c r="A3561" i="21"/>
  <c r="A3562" i="21"/>
  <c r="A3563" i="21"/>
  <c r="A3564" i="21"/>
  <c r="A3565" i="21"/>
  <c r="A3566" i="21"/>
  <c r="A3567" i="21"/>
  <c r="A3568" i="21"/>
  <c r="A3569" i="21"/>
  <c r="A3570" i="21"/>
  <c r="A3571" i="21"/>
  <c r="A3572" i="21"/>
  <c r="A3573" i="21"/>
  <c r="A3574" i="21"/>
  <c r="A3575" i="21"/>
  <c r="A3576" i="21"/>
  <c r="A3577" i="21"/>
  <c r="A3578" i="21"/>
  <c r="A3579" i="21"/>
  <c r="A3580" i="21"/>
  <c r="A3581" i="21"/>
  <c r="A3582" i="21"/>
  <c r="A3583" i="21"/>
  <c r="A3584" i="21"/>
  <c r="A3585" i="21"/>
  <c r="A3586" i="21"/>
  <c r="A3587" i="21"/>
  <c r="A3588" i="21"/>
  <c r="A3589" i="21"/>
  <c r="A3590" i="21"/>
  <c r="A3591" i="21"/>
  <c r="A3592" i="21"/>
  <c r="A3593" i="21"/>
  <c r="A3594" i="21"/>
  <c r="A3595" i="21"/>
  <c r="A3596" i="21"/>
  <c r="A3597" i="21"/>
  <c r="A3598" i="21"/>
  <c r="A3599" i="21"/>
  <c r="A3600" i="21"/>
  <c r="A3601" i="21"/>
  <c r="A3602" i="21"/>
  <c r="A3603" i="21"/>
  <c r="A3604" i="21"/>
  <c r="A3605" i="21"/>
  <c r="A3606" i="21"/>
  <c r="A3607" i="21"/>
  <c r="A3608" i="21"/>
  <c r="A3609" i="21"/>
  <c r="A3610" i="21"/>
  <c r="A3611" i="21"/>
  <c r="A3612" i="21"/>
  <c r="A3613" i="21"/>
  <c r="A3614" i="21"/>
  <c r="A3615" i="21"/>
  <c r="A3616" i="21"/>
  <c r="A3617" i="21"/>
  <c r="A3618" i="21"/>
  <c r="A3619" i="21"/>
  <c r="A3620" i="21"/>
  <c r="A3621" i="21"/>
  <c r="A3622" i="21"/>
  <c r="A3623" i="21"/>
  <c r="A3624" i="21"/>
  <c r="A3625" i="21"/>
  <c r="A3626" i="21"/>
  <c r="A3627" i="21"/>
  <c r="A3628" i="21"/>
  <c r="A3629" i="21"/>
  <c r="A3630" i="21"/>
  <c r="A3631" i="21"/>
  <c r="A3632" i="21"/>
  <c r="A3633" i="21"/>
  <c r="A3634" i="21"/>
  <c r="A3635" i="21"/>
  <c r="A3636" i="21"/>
  <c r="A3637" i="21"/>
  <c r="A3638" i="21"/>
  <c r="A3639" i="21"/>
  <c r="A3640" i="21"/>
  <c r="A3641" i="21"/>
  <c r="A3642" i="21"/>
  <c r="A3643" i="21"/>
  <c r="A3644" i="21"/>
  <c r="A3645" i="21"/>
  <c r="A3646" i="21"/>
  <c r="A3647" i="21"/>
  <c r="A3648" i="21"/>
  <c r="A3649" i="21"/>
  <c r="A3650" i="21"/>
  <c r="A3659" i="21"/>
  <c r="A3660" i="21"/>
  <c r="A3661" i="21"/>
  <c r="A3662" i="21"/>
  <c r="A3663" i="21"/>
  <c r="A3664" i="21"/>
  <c r="A3665" i="21"/>
  <c r="A3666" i="21"/>
  <c r="A3667" i="21"/>
  <c r="A3668" i="21"/>
  <c r="A3669" i="21"/>
  <c r="A3670" i="21"/>
  <c r="A3671" i="21"/>
  <c r="A3672" i="21"/>
  <c r="A3673" i="21"/>
  <c r="A3674" i="21"/>
  <c r="A3675" i="21"/>
  <c r="A3676" i="21"/>
  <c r="A3677" i="21"/>
  <c r="A3678" i="21"/>
  <c r="A3679" i="21"/>
  <c r="A3680" i="21"/>
  <c r="A3681" i="21"/>
  <c r="A3682" i="21"/>
  <c r="A3683" i="21"/>
  <c r="A3684" i="21"/>
  <c r="A3685" i="21"/>
  <c r="A3686" i="21"/>
  <c r="A3687" i="21"/>
  <c r="A3688" i="21"/>
  <c r="A3689" i="21"/>
  <c r="A3690" i="21"/>
  <c r="A3691" i="21"/>
  <c r="A3692" i="21"/>
  <c r="A3693" i="21"/>
  <c r="A3694" i="21"/>
  <c r="A3695" i="21"/>
  <c r="A3696" i="21"/>
  <c r="A3697" i="21"/>
  <c r="A3698" i="21"/>
  <c r="A3699" i="21"/>
  <c r="A3700" i="21"/>
  <c r="A3701" i="21"/>
  <c r="A3702" i="21"/>
  <c r="A3703" i="21"/>
  <c r="A3704" i="21"/>
  <c r="A3705" i="21"/>
  <c r="A3706" i="21"/>
  <c r="A3707" i="21"/>
  <c r="A3708" i="21"/>
  <c r="A3709" i="21"/>
  <c r="A3710" i="21"/>
  <c r="A3711" i="21"/>
  <c r="A3712" i="21"/>
  <c r="A3713" i="21"/>
  <c r="A3714" i="21"/>
  <c r="A3715" i="21"/>
  <c r="A3716" i="21"/>
  <c r="A3717" i="21"/>
  <c r="A3718" i="21"/>
  <c r="A3719" i="21"/>
  <c r="A3720" i="21"/>
  <c r="A3721" i="21"/>
  <c r="A3722" i="21"/>
  <c r="A3723" i="21"/>
  <c r="A3724" i="21"/>
  <c r="A3725" i="21"/>
  <c r="A3726" i="21"/>
  <c r="A3727" i="21"/>
  <c r="A3728" i="21"/>
  <c r="A3729" i="21"/>
  <c r="A3730" i="21"/>
  <c r="A3731" i="21"/>
  <c r="A3732" i="21"/>
  <c r="A3733" i="21"/>
  <c r="A3734" i="21"/>
  <c r="A3735" i="21"/>
  <c r="A3736" i="21"/>
  <c r="A3737" i="21"/>
  <c r="A3738" i="21"/>
  <c r="A3739" i="21"/>
  <c r="A3740" i="21"/>
  <c r="A3741" i="21"/>
  <c r="A3742" i="21"/>
  <c r="A3743" i="21"/>
  <c r="A3744" i="21"/>
  <c r="A3745" i="21"/>
  <c r="A3746" i="21"/>
  <c r="A3747" i="21"/>
  <c r="A3748" i="21"/>
  <c r="A3749" i="21"/>
  <c r="A3750" i="21"/>
  <c r="A3751" i="21"/>
  <c r="A3752" i="21"/>
  <c r="A3753" i="21"/>
  <c r="A3754" i="21"/>
  <c r="A3755" i="21"/>
  <c r="A3756" i="21"/>
  <c r="A3757" i="21"/>
  <c r="A3758" i="21"/>
  <c r="A3759" i="21"/>
  <c r="A3760" i="21"/>
  <c r="A3761" i="21"/>
  <c r="A3762" i="21"/>
  <c r="A3763" i="21"/>
  <c r="A3764" i="21"/>
  <c r="A3765" i="21"/>
  <c r="A3766" i="21"/>
  <c r="A3767" i="21"/>
  <c r="A3768" i="21"/>
  <c r="A3769" i="21"/>
  <c r="A3770" i="21"/>
  <c r="A3771" i="21"/>
  <c r="A3772" i="21"/>
  <c r="A3773" i="21"/>
  <c r="A3774" i="21"/>
  <c r="A3775" i="21"/>
  <c r="A3776" i="21"/>
  <c r="A3777" i="21"/>
  <c r="A3778" i="21"/>
  <c r="A3779" i="21"/>
  <c r="A3780" i="21"/>
  <c r="A3781" i="21"/>
  <c r="A3782" i="21"/>
  <c r="A3783" i="21"/>
  <c r="A3784" i="21"/>
  <c r="A3785" i="21"/>
  <c r="A3786" i="21"/>
  <c r="A3787" i="21"/>
  <c r="A3788" i="21"/>
  <c r="A3789" i="21"/>
  <c r="A3790" i="21"/>
  <c r="A3791" i="21"/>
  <c r="A3792" i="21"/>
  <c r="A3793" i="21"/>
  <c r="A3794" i="21"/>
  <c r="A3795" i="21"/>
  <c r="A3796" i="21"/>
  <c r="A3797" i="21"/>
  <c r="A3798" i="21"/>
  <c r="A3799" i="21"/>
  <c r="A3800" i="21"/>
  <c r="A3801" i="21"/>
  <c r="A3802" i="21"/>
  <c r="A3803" i="21"/>
  <c r="A3804" i="21"/>
  <c r="A3805" i="21"/>
  <c r="A3806" i="21"/>
  <c r="A3807" i="21"/>
  <c r="A3808" i="21"/>
  <c r="A3809" i="21"/>
  <c r="A3810" i="21"/>
  <c r="A3811" i="21"/>
  <c r="A3812" i="21"/>
  <c r="A3813" i="21"/>
  <c r="A3814" i="21"/>
  <c r="A3815" i="21"/>
  <c r="A3816" i="21"/>
  <c r="A3817" i="21"/>
  <c r="A3818" i="21"/>
  <c r="A3819" i="21"/>
  <c r="A3820" i="21"/>
  <c r="A3821" i="21"/>
  <c r="A3822" i="21"/>
  <c r="A3823" i="21"/>
  <c r="A3824" i="21"/>
  <c r="A3825" i="21"/>
  <c r="A3826" i="21"/>
  <c r="A3827" i="21"/>
  <c r="A3828" i="21"/>
  <c r="A3829" i="21"/>
  <c r="A3830" i="21"/>
  <c r="A3831" i="21"/>
  <c r="A3832" i="21"/>
  <c r="A3833" i="21"/>
  <c r="A3834" i="21"/>
  <c r="A3835" i="21"/>
  <c r="A3836" i="21"/>
  <c r="A3837" i="21"/>
  <c r="A3838" i="21"/>
  <c r="A3839" i="21"/>
  <c r="A3840" i="21"/>
  <c r="A3841" i="21"/>
  <c r="A3842" i="21"/>
  <c r="A3843" i="21"/>
  <c r="A3844" i="21"/>
  <c r="A3845" i="21"/>
  <c r="A3846" i="21"/>
  <c r="A3847" i="21"/>
  <c r="A3848" i="21"/>
  <c r="A3849" i="21"/>
  <c r="A3850" i="21"/>
  <c r="A3851" i="21"/>
  <c r="A3852" i="21"/>
  <c r="A3853" i="21"/>
  <c r="A3854" i="21"/>
  <c r="A3855" i="21"/>
  <c r="A3856" i="21"/>
  <c r="A3857" i="21"/>
  <c r="A3858" i="21"/>
  <c r="A3859" i="21"/>
  <c r="A3860" i="21"/>
  <c r="A3861" i="21"/>
  <c r="A3862" i="21"/>
  <c r="A3863" i="21"/>
  <c r="A3864" i="21"/>
  <c r="A3865" i="21"/>
  <c r="A3866" i="21"/>
  <c r="A3867" i="21"/>
  <c r="A3868" i="21"/>
  <c r="A3869" i="21"/>
  <c r="A3870" i="21"/>
  <c r="A3871" i="21"/>
  <c r="A3872" i="21"/>
  <c r="A3873" i="21"/>
  <c r="A3874" i="21"/>
  <c r="A3875" i="21"/>
  <c r="A3876" i="21"/>
  <c r="A3877" i="21"/>
  <c r="A3878" i="21"/>
  <c r="A3879" i="21"/>
  <c r="A3880" i="21"/>
  <c r="A3881" i="21"/>
  <c r="A3882" i="21"/>
  <c r="A3883" i="21"/>
  <c r="A3884" i="21"/>
  <c r="A3885" i="21"/>
  <c r="A3886" i="21"/>
  <c r="A3887" i="21"/>
  <c r="A3888" i="21"/>
  <c r="A3889" i="21"/>
  <c r="A3890" i="21"/>
  <c r="A3891" i="21"/>
  <c r="A3892" i="21"/>
  <c r="A3893" i="21"/>
  <c r="A3894" i="21"/>
  <c r="A3895" i="21"/>
  <c r="A3896" i="21"/>
  <c r="A3897" i="21"/>
  <c r="A3898" i="21"/>
  <c r="A3899" i="21"/>
  <c r="A3900" i="21"/>
  <c r="A3901" i="21"/>
  <c r="A3902" i="21"/>
  <c r="A3903" i="21"/>
  <c r="A3904" i="21"/>
  <c r="A3905" i="21"/>
  <c r="A3906" i="21"/>
  <c r="A3907" i="21"/>
  <c r="A3908" i="21"/>
  <c r="A3909" i="21"/>
  <c r="A3910" i="21"/>
  <c r="A3911" i="21"/>
  <c r="A3912" i="21"/>
  <c r="A3913" i="21"/>
  <c r="A3914" i="21"/>
  <c r="A3915" i="21"/>
  <c r="A3916" i="21"/>
  <c r="A3917" i="21"/>
  <c r="A3918" i="21"/>
  <c r="A3919" i="21"/>
  <c r="A3920" i="21"/>
  <c r="A3921" i="21"/>
  <c r="A3922" i="21"/>
  <c r="A3923" i="21"/>
  <c r="A3924" i="21"/>
  <c r="A3925" i="21"/>
  <c r="A3926" i="21"/>
  <c r="A3927" i="21"/>
  <c r="A3928" i="21"/>
  <c r="A3929" i="21"/>
  <c r="A3930" i="21"/>
  <c r="A3931" i="21"/>
  <c r="A3932" i="21"/>
  <c r="A3933" i="21"/>
  <c r="A3934" i="21"/>
  <c r="A3935" i="21"/>
  <c r="A3936" i="21"/>
  <c r="A3937" i="21"/>
  <c r="A3938" i="21"/>
  <c r="A3939" i="21"/>
  <c r="A3940" i="21"/>
  <c r="A3941" i="21"/>
  <c r="A3942" i="21"/>
  <c r="A3943" i="21"/>
  <c r="A3944" i="21"/>
  <c r="A3945" i="21"/>
  <c r="A3946" i="21"/>
  <c r="A3947" i="21"/>
  <c r="A3948" i="21"/>
  <c r="A3949" i="21"/>
  <c r="A3950" i="21"/>
  <c r="A3951" i="21"/>
  <c r="A3952" i="21"/>
  <c r="A3953" i="21"/>
  <c r="A3954" i="21"/>
  <c r="A3955" i="21"/>
  <c r="A3956" i="21"/>
  <c r="A3957" i="21"/>
  <c r="A3958" i="21"/>
  <c r="A3959" i="21"/>
  <c r="A3960" i="21"/>
  <c r="A3961" i="21"/>
  <c r="A3962" i="21"/>
  <c r="A3963" i="21"/>
  <c r="A3964" i="21"/>
  <c r="A3965" i="21"/>
  <c r="A3966" i="21"/>
  <c r="A3967" i="21"/>
  <c r="A3968" i="21"/>
  <c r="A3969" i="21"/>
  <c r="A3970" i="21"/>
  <c r="A3971" i="21"/>
  <c r="A3972" i="21"/>
  <c r="A3973" i="21"/>
  <c r="A3974" i="21"/>
  <c r="A3975" i="21"/>
  <c r="A3976" i="21"/>
  <c r="A3977" i="21"/>
  <c r="A3978" i="21"/>
  <c r="A3979" i="21"/>
  <c r="A3980" i="21"/>
  <c r="A3981" i="21"/>
  <c r="A3982" i="21"/>
  <c r="A3983" i="21"/>
  <c r="A3984" i="21"/>
  <c r="A3985" i="21"/>
  <c r="A3986" i="21"/>
  <c r="A3987" i="21"/>
  <c r="A3988" i="21"/>
  <c r="A3989" i="21"/>
  <c r="A3990" i="21"/>
  <c r="A3991" i="21"/>
  <c r="A3992" i="21"/>
  <c r="A3993" i="21"/>
  <c r="A3994" i="21"/>
  <c r="A3995" i="21"/>
  <c r="A3996" i="21"/>
  <c r="A3997" i="21"/>
  <c r="A3998" i="21"/>
  <c r="A3999" i="21"/>
  <c r="A4000" i="21"/>
  <c r="A4001" i="21"/>
  <c r="A4002" i="21"/>
  <c r="A4003" i="21"/>
  <c r="A4004" i="21"/>
  <c r="A4005" i="21"/>
  <c r="A4006" i="21"/>
  <c r="A4007" i="21"/>
  <c r="A4008" i="21"/>
  <c r="A4009" i="21"/>
  <c r="A4010" i="21"/>
  <c r="A4011" i="21"/>
  <c r="A4012" i="21"/>
  <c r="A4013" i="21"/>
  <c r="A4014" i="21"/>
  <c r="A4015" i="21"/>
  <c r="A4016" i="21"/>
  <c r="A4017" i="21"/>
  <c r="A4018" i="21"/>
  <c r="A4019" i="21"/>
  <c r="A4020" i="21"/>
  <c r="A4021" i="21"/>
  <c r="A4022" i="21"/>
  <c r="A4023" i="21"/>
  <c r="A4024" i="21"/>
  <c r="A4025" i="21"/>
  <c r="A4026" i="21"/>
  <c r="A4027" i="21"/>
  <c r="A4028" i="21"/>
  <c r="A4029" i="21"/>
  <c r="A4030" i="21"/>
  <c r="A4031" i="21"/>
  <c r="A4032" i="21"/>
  <c r="A4033" i="21"/>
  <c r="A4034" i="21"/>
  <c r="A4035" i="21"/>
  <c r="A4036" i="21"/>
  <c r="A4037" i="21"/>
  <c r="A4038" i="21"/>
  <c r="A4039" i="21"/>
  <c r="A4040" i="21"/>
  <c r="A4041" i="21"/>
  <c r="A4042" i="21"/>
  <c r="A4043" i="21"/>
  <c r="A4044" i="21"/>
  <c r="A4045" i="21"/>
  <c r="A4046" i="21"/>
  <c r="A4047" i="21"/>
  <c r="A4048" i="21"/>
  <c r="A4049" i="21"/>
  <c r="A4050" i="21"/>
  <c r="A4051" i="21"/>
  <c r="A4052" i="21"/>
  <c r="A4053" i="21"/>
  <c r="A4054" i="21"/>
  <c r="A4055" i="21"/>
  <c r="A4056" i="21"/>
  <c r="A4057" i="21"/>
  <c r="A4058" i="21"/>
  <c r="A4059" i="21"/>
  <c r="A4060" i="21"/>
  <c r="A4061" i="21"/>
  <c r="A4062" i="21"/>
  <c r="A4063" i="21"/>
  <c r="A4064" i="21"/>
  <c r="A4065" i="21"/>
  <c r="A4066" i="21"/>
  <c r="A4067" i="21"/>
  <c r="A4068" i="21"/>
  <c r="A4069" i="21"/>
  <c r="A4070" i="21"/>
  <c r="A4071" i="21"/>
  <c r="A4072" i="21"/>
  <c r="A4073" i="21"/>
  <c r="A4074" i="21"/>
  <c r="A4075" i="21"/>
  <c r="A4076" i="21"/>
  <c r="A4077" i="21"/>
  <c r="A4078" i="21"/>
  <c r="A4079" i="21"/>
  <c r="A4080" i="21"/>
  <c r="A4081" i="21"/>
  <c r="A4082" i="21"/>
  <c r="A4083" i="21"/>
  <c r="A4084" i="21"/>
  <c r="A4085" i="21"/>
  <c r="A4086" i="21"/>
  <c r="A4087" i="21"/>
  <c r="A4088" i="21"/>
  <c r="A4089" i="21"/>
  <c r="A4090" i="21"/>
  <c r="A4091" i="21"/>
  <c r="A4092" i="21"/>
  <c r="A4093" i="21"/>
  <c r="A4094" i="21"/>
  <c r="A4095" i="21"/>
  <c r="A4096" i="21"/>
  <c r="A4097" i="21"/>
  <c r="A4098" i="21"/>
  <c r="A4099" i="21"/>
  <c r="A4100" i="21"/>
  <c r="A4101" i="21"/>
  <c r="A4102" i="21"/>
  <c r="A4103" i="21"/>
  <c r="A4104" i="21"/>
  <c r="A4105" i="21"/>
  <c r="A4106" i="21"/>
  <c r="A4107" i="21"/>
  <c r="A4108" i="21"/>
  <c r="A4109" i="21"/>
  <c r="A4110" i="21"/>
  <c r="A4111" i="21"/>
  <c r="A4112" i="21"/>
  <c r="A4113" i="21"/>
  <c r="A4114" i="21"/>
  <c r="A4115" i="21"/>
  <c r="A4116" i="21"/>
  <c r="A4117" i="21"/>
  <c r="A4118" i="21"/>
  <c r="A4119" i="21"/>
  <c r="A4120" i="21"/>
  <c r="A4121" i="21"/>
  <c r="A4122" i="21"/>
  <c r="A4123" i="21"/>
  <c r="A4124" i="21"/>
  <c r="A4125" i="21"/>
  <c r="A4126" i="21"/>
  <c r="A4127" i="21"/>
  <c r="A4128" i="21"/>
  <c r="A4129" i="21"/>
  <c r="A4130" i="21"/>
  <c r="A4131" i="21"/>
  <c r="A4132" i="21"/>
  <c r="A4133" i="21"/>
  <c r="A4134" i="21"/>
  <c r="A4135" i="21"/>
  <c r="A4136" i="21"/>
  <c r="A4137" i="21"/>
  <c r="A4138" i="21"/>
  <c r="A4139" i="21"/>
  <c r="A4140" i="21"/>
  <c r="A4141" i="21"/>
  <c r="A4142" i="21"/>
  <c r="A4143" i="21"/>
  <c r="A4144" i="21"/>
  <c r="A4145" i="21"/>
  <c r="A4146" i="21"/>
  <c r="A4147" i="21"/>
  <c r="A4148" i="21"/>
  <c r="A4149" i="21"/>
  <c r="A4150" i="21"/>
  <c r="A4151" i="21"/>
  <c r="A4152" i="21"/>
  <c r="A4153" i="21"/>
  <c r="A4154" i="21"/>
  <c r="A4155" i="21"/>
  <c r="A4156" i="21"/>
  <c r="A4157" i="21"/>
  <c r="A4158" i="21"/>
  <c r="A4159" i="21"/>
  <c r="A4160" i="21"/>
  <c r="A4161" i="21"/>
  <c r="A4162" i="21"/>
  <c r="A4163" i="21"/>
  <c r="A4164" i="21"/>
  <c r="A4165" i="21"/>
  <c r="A4166" i="21"/>
  <c r="A4167" i="21"/>
  <c r="A4168" i="21"/>
  <c r="A4169" i="21"/>
  <c r="A4170" i="21"/>
  <c r="A4171" i="21"/>
  <c r="A4172" i="21"/>
  <c r="A4173" i="21"/>
  <c r="A4174" i="21"/>
  <c r="A4175" i="21"/>
  <c r="A4176" i="21"/>
  <c r="A4177" i="21"/>
  <c r="A4178" i="21"/>
  <c r="A4179" i="21"/>
  <c r="A4180" i="21"/>
  <c r="A4181" i="21"/>
  <c r="A4182" i="21"/>
  <c r="A4183" i="21"/>
  <c r="A4184" i="21"/>
  <c r="A4185" i="21"/>
  <c r="A4186" i="21"/>
  <c r="A4187" i="21"/>
  <c r="A4188" i="21"/>
  <c r="A4189" i="21"/>
  <c r="A4190" i="21"/>
  <c r="A4191" i="21"/>
  <c r="A4192" i="21"/>
  <c r="A4193" i="21"/>
  <c r="A4194" i="21"/>
  <c r="A4195" i="21"/>
  <c r="A4196" i="21"/>
  <c r="A4197" i="21"/>
  <c r="A4198" i="21"/>
  <c r="A4199" i="21"/>
  <c r="A4200" i="21"/>
  <c r="A4201" i="21"/>
  <c r="A4202" i="21"/>
  <c r="A4203" i="21"/>
  <c r="A4204" i="21"/>
  <c r="A4205" i="21"/>
  <c r="A4206" i="21"/>
  <c r="A4207" i="21"/>
  <c r="A4208" i="21"/>
  <c r="A4209" i="21"/>
  <c r="A4210" i="21"/>
  <c r="A4211" i="21"/>
  <c r="A4212" i="21"/>
  <c r="A4213" i="21"/>
  <c r="A4214" i="21"/>
  <c r="A4215" i="21"/>
  <c r="A4216" i="21"/>
  <c r="A4217" i="21"/>
  <c r="A4218" i="21"/>
  <c r="A4219" i="21"/>
  <c r="A4220" i="21"/>
  <c r="A4221" i="21"/>
  <c r="A4222" i="21"/>
  <c r="A4223" i="21"/>
  <c r="A4224" i="21"/>
  <c r="A4225" i="21"/>
  <c r="A4226" i="21"/>
  <c r="A4227" i="21"/>
  <c r="A4228" i="21"/>
  <c r="A4229" i="21"/>
  <c r="A4230" i="21"/>
  <c r="A4231" i="21"/>
  <c r="A4232" i="21"/>
  <c r="A4233" i="21"/>
  <c r="A4234" i="21"/>
  <c r="A4235" i="21"/>
  <c r="A4236" i="21"/>
  <c r="A4237" i="21"/>
  <c r="A4238" i="21"/>
  <c r="A4239" i="21"/>
  <c r="A4240" i="21"/>
  <c r="A4241" i="21"/>
  <c r="A4242" i="21"/>
  <c r="A4243" i="21"/>
  <c r="A4244" i="21"/>
  <c r="A4245" i="21"/>
  <c r="A4246" i="21"/>
  <c r="A4247" i="21"/>
  <c r="A4248" i="21"/>
  <c r="A4249" i="21"/>
  <c r="A4250" i="21"/>
  <c r="A4251" i="21"/>
  <c r="A4252" i="21"/>
  <c r="A4253" i="21"/>
  <c r="A4254" i="21"/>
  <c r="A4255" i="21"/>
  <c r="A4256" i="21"/>
  <c r="A4257" i="21"/>
  <c r="A4258" i="21"/>
  <c r="A4259" i="21"/>
  <c r="A4260" i="21"/>
  <c r="A4261" i="21"/>
  <c r="A4262" i="21"/>
  <c r="A4263" i="21"/>
  <c r="A4264" i="21"/>
  <c r="A4265" i="21"/>
  <c r="A4266" i="21"/>
  <c r="A4267" i="21"/>
  <c r="A4268" i="21"/>
  <c r="A4269" i="21"/>
  <c r="A4270" i="21"/>
  <c r="A4271" i="21"/>
  <c r="A4272" i="21"/>
  <c r="A4273" i="21"/>
  <c r="A4274" i="21"/>
  <c r="A4275" i="21"/>
  <c r="A4276" i="21"/>
  <c r="A4277" i="21"/>
  <c r="A4278" i="21"/>
  <c r="A4279" i="21"/>
  <c r="A4280" i="21"/>
  <c r="A4281" i="21"/>
  <c r="A4282" i="21"/>
  <c r="A4283" i="21"/>
  <c r="A4284" i="21"/>
  <c r="A4285" i="21"/>
  <c r="A4286" i="21"/>
  <c r="A4287" i="21"/>
  <c r="A4288" i="21"/>
  <c r="A4289" i="21"/>
  <c r="A4290" i="21"/>
  <c r="A4291" i="21"/>
  <c r="A4292" i="21"/>
  <c r="A4293" i="21"/>
  <c r="A4294" i="21"/>
  <c r="A4295" i="21"/>
  <c r="A4296" i="21"/>
  <c r="A4297" i="21"/>
  <c r="A4298" i="21"/>
  <c r="A4299" i="21"/>
  <c r="A4300" i="21"/>
  <c r="A4301" i="21"/>
  <c r="A4302" i="21"/>
  <c r="A4303" i="21"/>
  <c r="A4304" i="21"/>
  <c r="A4305" i="21"/>
  <c r="A4306" i="21"/>
  <c r="A4307" i="21"/>
  <c r="A4308" i="21"/>
  <c r="A4309" i="21"/>
  <c r="A4310" i="21"/>
  <c r="A4311" i="21"/>
  <c r="A4312" i="21"/>
  <c r="A4313" i="21"/>
  <c r="A4314" i="21"/>
  <c r="A4315" i="21"/>
  <c r="A4316" i="21"/>
  <c r="A4317" i="21"/>
  <c r="A4318" i="21"/>
  <c r="A4319" i="21"/>
  <c r="A4320" i="21"/>
  <c r="A4321" i="21"/>
  <c r="A4322" i="21"/>
  <c r="A4323" i="21"/>
  <c r="A4324" i="21"/>
  <c r="A4325" i="21"/>
  <c r="A4326" i="21"/>
  <c r="A4327" i="21"/>
  <c r="A4328" i="21"/>
  <c r="A4329" i="21"/>
  <c r="A4330" i="21"/>
  <c r="A4331" i="21"/>
  <c r="A4332" i="21"/>
  <c r="A4333" i="21"/>
  <c r="A4334" i="21"/>
  <c r="A4335" i="21"/>
  <c r="A4336" i="21"/>
  <c r="A4337" i="21"/>
  <c r="A4338" i="21"/>
  <c r="A4339" i="21"/>
  <c r="A4340" i="21"/>
  <c r="A4341" i="21"/>
  <c r="A4342" i="21"/>
  <c r="A4343" i="21"/>
  <c r="A4344" i="21"/>
  <c r="A4345" i="21"/>
  <c r="A4346" i="21"/>
  <c r="A4347" i="21"/>
  <c r="A4348" i="21"/>
  <c r="A4349" i="21"/>
  <c r="A4350" i="21"/>
  <c r="A4351" i="21"/>
  <c r="A4352" i="21"/>
  <c r="A4353" i="21"/>
  <c r="A4354" i="21"/>
  <c r="A4355" i="21"/>
  <c r="A4356" i="21"/>
  <c r="A4357" i="21"/>
  <c r="A4358" i="21"/>
  <c r="A4359" i="21"/>
  <c r="A4360" i="21"/>
  <c r="A4361" i="21"/>
  <c r="A4362" i="21"/>
  <c r="A4363" i="21"/>
  <c r="A4364" i="21"/>
  <c r="A4365" i="21"/>
  <c r="A4366" i="21"/>
  <c r="A4367" i="21"/>
  <c r="A4368" i="21"/>
  <c r="A4369" i="21"/>
  <c r="A4370" i="21"/>
  <c r="A4371" i="21"/>
  <c r="A4372" i="21"/>
  <c r="A4373" i="21"/>
  <c r="A4374" i="21"/>
  <c r="A4375" i="21"/>
  <c r="A4376" i="21"/>
  <c r="A4377" i="21"/>
  <c r="A4378" i="21"/>
  <c r="A4379" i="21"/>
  <c r="A4380" i="21"/>
  <c r="A4381" i="21"/>
  <c r="A4382" i="21"/>
  <c r="A4383" i="21"/>
  <c r="A4384" i="21"/>
  <c r="A4385" i="21"/>
  <c r="A4386" i="21"/>
  <c r="A4387" i="21"/>
  <c r="A4388" i="21"/>
  <c r="A4389" i="21"/>
  <c r="A4390" i="21"/>
  <c r="A4391" i="21"/>
  <c r="A4392" i="21"/>
  <c r="A4393" i="21"/>
  <c r="A4394" i="21"/>
  <c r="A4395" i="21"/>
  <c r="A4396" i="21"/>
  <c r="A4397" i="21"/>
  <c r="A4398" i="21"/>
  <c r="A4399" i="21"/>
  <c r="A4400" i="21"/>
  <c r="A4401" i="21"/>
  <c r="A4402" i="21"/>
  <c r="A4403" i="21"/>
  <c r="A4404" i="21"/>
  <c r="A4405" i="21"/>
  <c r="A4406" i="21"/>
  <c r="A4407" i="21"/>
  <c r="A4408" i="21"/>
  <c r="A4409" i="21"/>
  <c r="A4410" i="21"/>
  <c r="A4411" i="21"/>
  <c r="A4412" i="21"/>
  <c r="A4413" i="21"/>
  <c r="A4414" i="21"/>
  <c r="A4415" i="21"/>
  <c r="A4416" i="21"/>
  <c r="A4417" i="21"/>
  <c r="A4418" i="21"/>
  <c r="A4419" i="21"/>
  <c r="A4420" i="21"/>
  <c r="A4421" i="21"/>
  <c r="A4422" i="21"/>
  <c r="A4423" i="21"/>
  <c r="A4424" i="21"/>
  <c r="A4425" i="21"/>
  <c r="A4426" i="21"/>
  <c r="A4427" i="21"/>
  <c r="A4428" i="21"/>
  <c r="A4429" i="21"/>
  <c r="A4430" i="21"/>
  <c r="A4431" i="21"/>
  <c r="A4432" i="21"/>
  <c r="A4433" i="21"/>
  <c r="A4434" i="21"/>
  <c r="A4435" i="21"/>
  <c r="A4436" i="21"/>
  <c r="A4437" i="21"/>
  <c r="A4438" i="21"/>
  <c r="A4439" i="21"/>
  <c r="A4440" i="21"/>
  <c r="A4441" i="21"/>
  <c r="A4442" i="21"/>
  <c r="A4443" i="21"/>
  <c r="A4444" i="21"/>
  <c r="A4445" i="21"/>
  <c r="A4446" i="21"/>
  <c r="A4447" i="21"/>
  <c r="A4448" i="21"/>
  <c r="A4449" i="21"/>
  <c r="A4450" i="21"/>
  <c r="A4451" i="21"/>
  <c r="A4452" i="21"/>
  <c r="A4453" i="21"/>
  <c r="A4454" i="21"/>
  <c r="A4455" i="21"/>
  <c r="A4456" i="21"/>
  <c r="A4457" i="21"/>
  <c r="A4458" i="21"/>
  <c r="A4459" i="21"/>
  <c r="A4460" i="21"/>
  <c r="A4461" i="21"/>
  <c r="A4462" i="21"/>
  <c r="A4463" i="21"/>
  <c r="A4464" i="21"/>
  <c r="A4465" i="21"/>
  <c r="A4466" i="21"/>
  <c r="A4467" i="21"/>
  <c r="A4468" i="21"/>
  <c r="A4469" i="21"/>
  <c r="A4470" i="21"/>
  <c r="A4471" i="21"/>
  <c r="A4472" i="21"/>
  <c r="A4473" i="21"/>
  <c r="A4474" i="21"/>
  <c r="A4475" i="21"/>
  <c r="A4476" i="21"/>
  <c r="A4477" i="21"/>
  <c r="A4478" i="21"/>
  <c r="A4479" i="21"/>
  <c r="A4480" i="21"/>
  <c r="A4481" i="21"/>
  <c r="A4482" i="21"/>
  <c r="A4483" i="21"/>
  <c r="A4484" i="21"/>
  <c r="A4485" i="21"/>
  <c r="A4486" i="21"/>
  <c r="A4487" i="21"/>
  <c r="A4488" i="21"/>
  <c r="A4489" i="21"/>
  <c r="A4490" i="21"/>
  <c r="A4491" i="21"/>
  <c r="A4492" i="21"/>
  <c r="A4493" i="21"/>
  <c r="A4494" i="21"/>
  <c r="A4495" i="21"/>
  <c r="A4496" i="21"/>
  <c r="A4497" i="21"/>
  <c r="A4498" i="21"/>
  <c r="A4499" i="21"/>
  <c r="A4500" i="21"/>
  <c r="A4501" i="21"/>
  <c r="A4502" i="21"/>
  <c r="A4503" i="21"/>
  <c r="A4504" i="21"/>
  <c r="A4505" i="21"/>
  <c r="A4506" i="21"/>
  <c r="A4507" i="21"/>
  <c r="A4508" i="21"/>
  <c r="A4509" i="21"/>
  <c r="A4510" i="21"/>
  <c r="A4511" i="21"/>
  <c r="A4512" i="21"/>
  <c r="A4513" i="21"/>
  <c r="A4514" i="21"/>
  <c r="A4515" i="21"/>
  <c r="A4516" i="21"/>
  <c r="A4517" i="21"/>
  <c r="A4518" i="21"/>
  <c r="A4519" i="21"/>
  <c r="A4520" i="21"/>
  <c r="A4521" i="21"/>
  <c r="A4522" i="21"/>
  <c r="A4523" i="21"/>
  <c r="A4524" i="21"/>
  <c r="A4525" i="21"/>
  <c r="A4526" i="21"/>
  <c r="A4527" i="21"/>
  <c r="A4528" i="21"/>
  <c r="A4529" i="21"/>
  <c r="A4530" i="21"/>
  <c r="A4531" i="21"/>
  <c r="A4532" i="21"/>
  <c r="A4533" i="21"/>
  <c r="A4534" i="21"/>
  <c r="A4535" i="21"/>
  <c r="A4536" i="21"/>
  <c r="A4537" i="21"/>
  <c r="A4538" i="21"/>
  <c r="A4539" i="21"/>
  <c r="A4540" i="21"/>
  <c r="A4541" i="21"/>
  <c r="A4542" i="21"/>
  <c r="A4543" i="21"/>
  <c r="A4544" i="21"/>
  <c r="A4545" i="21"/>
  <c r="A4546" i="21"/>
  <c r="A4547" i="21"/>
  <c r="A4548" i="21"/>
  <c r="A4549" i="21"/>
  <c r="A4550" i="21"/>
  <c r="A4551" i="21"/>
  <c r="A4552" i="21"/>
  <c r="A4553" i="21"/>
  <c r="A4554" i="21"/>
  <c r="A4555" i="21"/>
  <c r="A4556" i="21"/>
  <c r="A4557" i="21"/>
  <c r="A4558" i="21"/>
  <c r="A4559" i="21"/>
  <c r="A4560" i="21"/>
  <c r="A4561" i="21"/>
  <c r="A4562" i="21"/>
  <c r="A4563" i="21"/>
  <c r="A4564" i="21"/>
  <c r="A4565" i="21"/>
  <c r="A4566" i="21"/>
  <c r="A4567" i="21"/>
  <c r="A4568" i="21"/>
  <c r="A4569" i="21"/>
  <c r="A4570" i="21"/>
  <c r="A4571" i="21"/>
  <c r="A4572" i="21"/>
  <c r="A4573" i="21"/>
  <c r="A4574" i="21"/>
  <c r="A4575" i="21"/>
  <c r="A4576" i="21"/>
  <c r="A4577" i="21"/>
  <c r="A4578" i="21"/>
  <c r="A4579" i="21"/>
  <c r="A4580" i="21"/>
  <c r="A4581" i="21"/>
  <c r="A4582" i="21"/>
  <c r="A4583" i="21"/>
  <c r="A4584" i="21"/>
  <c r="A4585" i="21"/>
  <c r="A4586" i="21"/>
  <c r="A4587" i="21"/>
  <c r="A4588" i="21"/>
  <c r="A4589" i="21"/>
  <c r="A4590" i="21"/>
  <c r="A4591" i="21"/>
  <c r="A4592" i="21"/>
  <c r="A4593" i="21"/>
  <c r="A4594" i="21"/>
  <c r="A4595" i="21"/>
  <c r="A4596" i="21"/>
  <c r="A4597" i="21"/>
  <c r="A4598" i="21"/>
  <c r="A4599" i="21"/>
  <c r="A4600" i="21"/>
  <c r="A4601" i="21"/>
  <c r="A4602" i="21"/>
  <c r="A4603" i="21"/>
  <c r="A4604" i="21"/>
  <c r="A4605" i="21"/>
  <c r="A4606" i="21"/>
  <c r="A4607" i="21"/>
  <c r="A4608" i="21"/>
  <c r="A4609" i="21"/>
  <c r="A4610" i="21"/>
  <c r="A4611" i="21"/>
  <c r="A4612" i="21"/>
  <c r="A4613" i="21"/>
  <c r="A4614" i="21"/>
  <c r="A4615" i="21"/>
  <c r="A4616" i="21"/>
  <c r="A4617" i="21"/>
  <c r="A4618" i="21"/>
  <c r="A4619" i="21"/>
  <c r="A4620" i="21"/>
  <c r="A4621" i="21"/>
  <c r="A4622" i="21"/>
  <c r="A4623" i="21"/>
  <c r="A4624" i="21"/>
  <c r="A4625" i="21"/>
  <c r="A4626" i="21"/>
  <c r="A4627" i="21"/>
  <c r="A4628" i="21"/>
  <c r="A4629" i="21"/>
  <c r="A4630" i="21"/>
  <c r="A4631" i="21"/>
  <c r="A4632" i="21"/>
  <c r="A4633" i="21"/>
  <c r="A4634" i="21"/>
  <c r="A4635" i="21"/>
  <c r="A4636" i="21"/>
  <c r="A4637" i="21"/>
  <c r="A4638" i="21"/>
  <c r="A4639" i="21"/>
  <c r="A4640" i="21"/>
  <c r="A4641" i="21"/>
  <c r="A4642" i="21"/>
  <c r="A4643" i="21"/>
  <c r="A4644" i="21"/>
  <c r="A4645" i="21"/>
  <c r="A4646" i="21"/>
  <c r="A4647" i="21"/>
  <c r="A4648" i="21"/>
  <c r="A4649" i="21"/>
  <c r="A4650" i="21"/>
  <c r="A4651" i="21"/>
  <c r="A4652" i="21"/>
  <c r="A4653" i="21"/>
  <c r="A4654" i="21"/>
  <c r="A4655" i="21"/>
  <c r="A4656" i="21"/>
  <c r="A4657" i="21"/>
  <c r="A4658" i="21"/>
  <c r="A4659" i="21"/>
  <c r="A4660" i="21"/>
  <c r="A4661" i="21"/>
  <c r="A4662" i="21"/>
  <c r="A4663" i="21"/>
  <c r="A4664" i="21"/>
  <c r="A4665" i="21"/>
  <c r="A4666" i="21"/>
  <c r="A4667" i="21"/>
  <c r="A4668" i="21"/>
  <c r="A4669" i="21"/>
  <c r="A4670" i="21"/>
  <c r="A4671" i="21"/>
  <c r="A4672" i="21"/>
  <c r="A4673" i="21"/>
  <c r="A4674" i="21"/>
  <c r="A4675" i="21"/>
  <c r="A4676" i="21"/>
  <c r="A4677" i="21"/>
  <c r="A4678" i="21"/>
  <c r="A4679" i="21"/>
  <c r="A4680" i="21"/>
  <c r="A4681" i="21"/>
  <c r="A4682" i="21"/>
  <c r="A4683" i="21"/>
  <c r="A4684" i="21"/>
  <c r="A4685" i="21"/>
  <c r="A4686" i="21"/>
  <c r="A4687" i="21"/>
  <c r="A4688" i="21"/>
  <c r="A4689" i="21"/>
  <c r="A4690" i="21"/>
  <c r="A4691" i="21"/>
  <c r="A4692" i="21"/>
  <c r="A4693" i="21"/>
  <c r="A4694" i="21"/>
  <c r="A4695" i="21"/>
  <c r="A4696" i="21"/>
  <c r="A4697" i="21"/>
  <c r="A4698" i="21"/>
  <c r="A4699" i="21"/>
  <c r="A4700" i="21"/>
  <c r="A4701" i="21"/>
  <c r="A4702" i="21"/>
  <c r="A4703" i="21"/>
  <c r="A4704" i="21"/>
  <c r="A4705" i="21"/>
  <c r="A4706" i="21"/>
  <c r="A4707" i="21"/>
  <c r="A4708" i="21"/>
  <c r="A4709" i="21"/>
  <c r="A4710" i="21"/>
  <c r="A4711" i="21"/>
  <c r="A4712" i="21"/>
  <c r="A4713" i="21"/>
  <c r="A4714" i="21"/>
  <c r="A4715" i="21"/>
  <c r="A4716" i="21"/>
  <c r="A4717" i="21"/>
  <c r="A4718" i="21"/>
  <c r="A4719" i="21"/>
  <c r="A4720" i="21"/>
  <c r="A4721" i="21"/>
  <c r="A4722" i="21"/>
  <c r="A4723" i="21"/>
  <c r="A4724" i="21"/>
  <c r="A4725" i="21"/>
  <c r="A4726" i="21"/>
  <c r="A4727" i="21"/>
  <c r="A4728" i="21"/>
  <c r="A4729" i="21"/>
  <c r="A4730" i="21"/>
  <c r="A4731" i="21"/>
  <c r="A4732" i="21"/>
  <c r="A4733" i="21"/>
  <c r="A4734" i="21"/>
  <c r="A4735" i="21"/>
  <c r="A4736" i="21"/>
  <c r="A4737" i="21"/>
  <c r="A4738" i="21"/>
  <c r="A4739" i="21"/>
  <c r="A4740" i="21"/>
  <c r="A4741" i="21"/>
  <c r="A4742" i="21"/>
  <c r="A4743" i="21"/>
  <c r="A4744" i="21"/>
  <c r="A4745" i="21"/>
  <c r="A4746" i="21"/>
  <c r="A4747" i="21"/>
  <c r="A4748" i="21"/>
  <c r="A4749" i="21"/>
  <c r="A4750" i="21"/>
  <c r="A4751" i="21"/>
  <c r="A4752" i="21"/>
  <c r="A4753" i="21"/>
  <c r="A4754" i="21"/>
  <c r="A4755" i="21"/>
  <c r="A4756" i="21"/>
  <c r="A4757" i="21"/>
  <c r="A4758" i="21"/>
  <c r="A4759" i="21"/>
  <c r="A4760" i="21"/>
  <c r="A4761" i="21"/>
  <c r="A4762" i="21"/>
  <c r="A4763" i="21"/>
  <c r="A4764" i="21"/>
  <c r="A4765" i="21"/>
  <c r="A4766" i="21"/>
  <c r="A4767" i="21"/>
  <c r="A4768" i="21"/>
  <c r="A4769" i="21"/>
  <c r="A4770" i="21"/>
  <c r="A4771" i="21"/>
  <c r="A4772" i="21"/>
  <c r="A4773" i="21"/>
  <c r="A4774" i="21"/>
  <c r="A4775" i="21"/>
  <c r="A4776" i="21"/>
  <c r="A4777" i="21"/>
  <c r="A4778" i="21"/>
  <c r="A4779" i="21"/>
  <c r="A4780" i="21"/>
  <c r="A4781" i="21"/>
  <c r="A4782" i="21"/>
  <c r="A4783" i="21"/>
  <c r="A4784" i="21"/>
  <c r="A4785" i="21"/>
  <c r="A4786" i="21"/>
  <c r="A4787" i="21"/>
  <c r="A4788" i="21"/>
  <c r="A4789" i="21"/>
  <c r="A4790" i="21"/>
  <c r="A4791" i="21"/>
  <c r="A4792" i="21"/>
  <c r="A4793" i="21"/>
  <c r="A4794" i="21"/>
  <c r="A4795" i="21"/>
  <c r="A4796" i="21"/>
  <c r="A4797" i="21"/>
  <c r="A4798" i="21"/>
  <c r="A4799" i="21"/>
  <c r="A4800" i="21"/>
  <c r="A4801" i="21"/>
  <c r="A4802" i="21"/>
  <c r="A4803" i="21"/>
  <c r="A4804" i="21"/>
  <c r="A4805" i="21"/>
  <c r="A4806" i="21"/>
  <c r="A4807" i="21"/>
  <c r="A4808" i="21"/>
  <c r="A4809" i="21"/>
  <c r="A4810" i="21"/>
  <c r="A4811" i="21"/>
  <c r="A4812" i="21"/>
  <c r="A4813" i="21"/>
  <c r="A4814" i="21"/>
  <c r="A4815" i="21"/>
  <c r="A4816" i="21"/>
  <c r="A4817" i="21"/>
  <c r="A4818" i="21"/>
  <c r="A4819" i="21"/>
  <c r="A4820" i="21"/>
  <c r="A4821" i="21"/>
  <c r="A4822" i="21"/>
  <c r="A4823" i="21"/>
  <c r="A4824" i="21"/>
  <c r="A4825" i="21"/>
  <c r="A4826" i="21"/>
  <c r="A4827" i="21"/>
  <c r="A4828" i="21"/>
  <c r="A4829" i="21"/>
  <c r="A4830" i="21"/>
  <c r="A4831" i="21"/>
  <c r="A4832" i="21"/>
  <c r="A4833" i="21"/>
  <c r="A4834" i="21"/>
  <c r="A4835" i="21"/>
  <c r="A4836" i="21"/>
  <c r="A4837" i="21"/>
  <c r="A4838" i="21"/>
  <c r="A4839" i="21"/>
  <c r="A4840" i="21"/>
  <c r="A4841" i="21"/>
  <c r="A4842" i="21"/>
  <c r="A4843" i="21"/>
  <c r="A4844" i="21"/>
  <c r="A4845" i="21"/>
  <c r="A4846" i="21"/>
  <c r="A4847" i="21"/>
  <c r="A4848" i="21"/>
  <c r="A4849" i="21"/>
  <c r="A4850" i="21"/>
  <c r="A4851" i="21"/>
  <c r="A4852" i="21"/>
  <c r="A4853" i="21"/>
  <c r="A4854" i="21"/>
  <c r="A4855" i="21"/>
  <c r="A4856" i="21"/>
  <c r="A4857" i="21"/>
  <c r="A4858" i="21"/>
  <c r="A4859" i="21"/>
  <c r="A4860" i="21"/>
  <c r="A4861" i="21"/>
  <c r="A4862" i="21"/>
  <c r="A4863" i="21"/>
  <c r="A4864" i="21"/>
  <c r="A4865" i="21"/>
  <c r="A4866" i="21"/>
  <c r="A4867" i="21"/>
  <c r="A4868" i="21"/>
  <c r="A4869" i="21"/>
  <c r="A4870" i="21"/>
  <c r="A4871" i="21"/>
  <c r="A4872" i="21"/>
  <c r="A4873" i="21"/>
  <c r="A4874" i="21"/>
  <c r="A4875" i="21"/>
  <c r="A4876" i="21"/>
  <c r="A4877" i="21"/>
  <c r="A4878" i="21"/>
  <c r="A4879" i="21"/>
  <c r="A4880" i="21"/>
  <c r="A4881" i="21"/>
  <c r="A4882" i="21"/>
  <c r="A4883" i="21"/>
  <c r="A4884" i="21"/>
  <c r="A4885" i="21"/>
  <c r="A4886" i="21"/>
  <c r="A4887" i="21"/>
  <c r="A4888" i="21"/>
  <c r="A4889" i="21"/>
  <c r="A4890" i="21"/>
  <c r="A4891" i="21"/>
  <c r="A4892" i="21"/>
  <c r="A4893" i="21"/>
  <c r="A4894" i="21"/>
  <c r="A4895" i="21"/>
  <c r="A4896" i="21"/>
  <c r="A4897" i="21"/>
  <c r="A4898" i="21"/>
  <c r="A4899" i="21"/>
  <c r="A4900" i="21"/>
  <c r="A4901" i="21"/>
  <c r="A4902" i="21"/>
  <c r="A4903" i="21"/>
  <c r="A4904" i="21"/>
  <c r="A4905" i="21"/>
  <c r="A4906" i="21"/>
  <c r="A4907" i="21"/>
  <c r="A4908" i="21"/>
  <c r="A4909" i="21"/>
  <c r="A4910" i="21"/>
  <c r="A4911" i="21"/>
  <c r="A4912" i="21"/>
  <c r="A4913" i="21"/>
  <c r="A4914" i="21"/>
  <c r="A4915" i="21"/>
  <c r="A4916" i="21"/>
  <c r="A4917" i="21"/>
  <c r="A4918" i="21"/>
  <c r="A4919" i="21"/>
  <c r="A4920" i="21"/>
  <c r="A4921" i="21"/>
  <c r="A4922" i="21"/>
  <c r="A4923" i="21"/>
  <c r="A4924" i="21"/>
  <c r="A4925" i="21"/>
  <c r="A4926" i="21"/>
  <c r="A4927" i="21"/>
  <c r="A4928" i="21"/>
  <c r="A4929" i="21"/>
  <c r="A4930" i="21"/>
  <c r="A4931" i="21"/>
  <c r="A4932" i="21"/>
  <c r="A4933" i="21"/>
  <c r="A4934" i="21"/>
  <c r="A4935" i="21"/>
  <c r="A4936" i="21"/>
  <c r="A4937" i="21"/>
  <c r="A4938" i="21"/>
  <c r="A4939" i="21"/>
  <c r="A4940" i="21"/>
  <c r="A4941" i="21"/>
  <c r="A4942" i="21"/>
  <c r="A4943" i="21"/>
  <c r="A4944" i="21"/>
  <c r="A4945" i="21"/>
  <c r="A4946" i="21"/>
  <c r="A4947" i="21"/>
  <c r="A4948" i="21"/>
  <c r="A4949" i="21"/>
  <c r="A4950" i="21"/>
  <c r="A4951" i="21"/>
  <c r="A4952" i="21"/>
  <c r="A4953" i="21"/>
  <c r="A4954" i="21"/>
  <c r="A4955" i="21"/>
  <c r="A4956" i="21"/>
  <c r="A4957" i="21"/>
  <c r="A4958" i="21"/>
  <c r="A4959" i="21"/>
  <c r="A4960" i="21"/>
  <c r="A4961" i="21"/>
  <c r="A4962" i="21"/>
  <c r="A4963" i="21"/>
  <c r="A4964" i="21"/>
  <c r="A4965" i="21"/>
  <c r="A4966" i="21"/>
  <c r="A4967" i="21"/>
  <c r="A4968" i="21"/>
  <c r="A4969" i="21"/>
  <c r="A4970" i="21"/>
  <c r="A4971" i="21"/>
  <c r="A4972" i="21"/>
  <c r="A4973" i="21"/>
  <c r="A4974" i="21"/>
  <c r="A4975" i="21"/>
  <c r="A4976" i="21"/>
  <c r="A4977" i="21"/>
  <c r="A4978" i="21"/>
  <c r="A4979" i="21"/>
  <c r="A4980" i="21"/>
  <c r="A4981" i="21"/>
  <c r="A4982" i="21"/>
  <c r="A4983" i="21"/>
  <c r="A4984" i="21"/>
  <c r="A4985" i="21"/>
  <c r="A4986" i="21"/>
  <c r="A4987" i="21"/>
  <c r="A4988" i="21"/>
  <c r="A4989" i="21"/>
  <c r="A4990" i="21"/>
  <c r="A4991" i="21"/>
  <c r="A4992" i="21"/>
  <c r="A4993" i="21"/>
  <c r="A4994" i="21"/>
  <c r="A4995" i="21"/>
  <c r="A4996" i="21"/>
  <c r="A4997" i="21"/>
  <c r="A4998" i="21"/>
  <c r="A4999" i="21"/>
  <c r="A5000" i="21"/>
  <c r="A5001" i="21"/>
  <c r="A5002" i="21"/>
  <c r="A5003" i="21"/>
  <c r="A5004" i="21"/>
  <c r="A5005" i="21"/>
  <c r="A5006" i="21"/>
  <c r="A5007" i="21"/>
  <c r="A5008" i="21"/>
  <c r="A5009" i="21"/>
  <c r="A5010" i="21"/>
  <c r="A5011" i="21"/>
  <c r="A5012" i="21"/>
  <c r="A5013" i="21"/>
  <c r="A5014" i="21"/>
  <c r="A5015" i="21"/>
  <c r="A5016" i="21"/>
  <c r="A5017" i="21"/>
  <c r="A5018" i="21"/>
  <c r="A5019" i="21"/>
  <c r="A5020" i="21"/>
  <c r="A5021" i="21"/>
  <c r="A5022" i="21"/>
  <c r="A5023" i="21"/>
  <c r="A5024" i="21"/>
  <c r="A5025" i="21"/>
  <c r="A5026" i="21"/>
  <c r="A5027" i="21"/>
  <c r="A5028" i="21"/>
  <c r="A5029" i="21"/>
  <c r="A5030" i="21"/>
  <c r="A5031" i="21"/>
  <c r="A5032" i="21"/>
  <c r="A5033" i="21"/>
  <c r="A5034" i="21"/>
  <c r="A5035" i="21"/>
  <c r="A5036" i="21"/>
  <c r="A5037" i="21"/>
  <c r="A5038" i="21"/>
  <c r="A5039" i="21"/>
  <c r="A5040" i="21"/>
  <c r="A5041" i="21"/>
  <c r="A5042" i="21"/>
  <c r="A5043" i="21"/>
  <c r="A5044" i="21"/>
  <c r="A5045" i="21"/>
  <c r="A5046" i="21"/>
  <c r="A5047" i="21"/>
  <c r="A5048" i="21"/>
  <c r="A5049" i="21"/>
  <c r="A5050" i="21"/>
  <c r="A5051" i="21"/>
  <c r="A5052" i="21"/>
  <c r="A5053" i="21"/>
  <c r="A5054" i="21"/>
  <c r="A5055" i="21"/>
  <c r="A5056" i="21"/>
  <c r="A5057" i="21"/>
  <c r="A2" i="21"/>
  <c r="C9" i="8"/>
  <c r="G28" i="1" s="1"/>
  <c r="C10" i="8"/>
  <c r="E28" i="1" l="1"/>
  <c r="E111" i="1"/>
  <c r="K111" i="1" s="1"/>
  <c r="C18" i="4" s="1"/>
  <c r="C18" i="8"/>
  <c r="C20" i="8"/>
  <c r="C16" i="8"/>
  <c r="E61" i="1" s="1"/>
  <c r="C12" i="8"/>
  <c r="E99" i="1"/>
  <c r="E104" i="1" s="1"/>
  <c r="E100" i="1"/>
  <c r="E87" i="1"/>
  <c r="E88" i="1"/>
  <c r="E89" i="1"/>
  <c r="E90" i="1"/>
  <c r="E91" i="1"/>
  <c r="J77" i="1"/>
  <c r="K77" i="1" s="1"/>
  <c r="K47" i="4" s="1"/>
  <c r="J71" i="1"/>
  <c r="J81" i="1"/>
  <c r="K81" i="1" s="1"/>
  <c r="K51" i="4" s="1"/>
  <c r="J80" i="1"/>
  <c r="M80" i="1" s="1"/>
  <c r="J79" i="1"/>
  <c r="M79" i="1" s="1"/>
  <c r="E117" i="15"/>
  <c r="K100" i="3" s="1"/>
  <c r="C32" i="2" s="1"/>
  <c r="E116" i="15"/>
  <c r="G116" i="15" s="1"/>
  <c r="E115" i="15"/>
  <c r="G115" i="15" s="1"/>
  <c r="E114" i="15"/>
  <c r="K73" i="3"/>
  <c r="L73" i="3"/>
  <c r="M73" i="3"/>
  <c r="J28" i="3"/>
  <c r="J24" i="3"/>
  <c r="J26" i="3"/>
  <c r="J25" i="3"/>
  <c r="J23" i="3"/>
  <c r="J21" i="3"/>
  <c r="J22" i="3"/>
  <c r="J76" i="1"/>
  <c r="J75" i="1"/>
  <c r="J74" i="1"/>
  <c r="J72" i="1"/>
  <c r="J70" i="1"/>
  <c r="J69" i="1"/>
  <c r="L111" i="1" l="1"/>
  <c r="D18" i="4" s="1"/>
  <c r="K25" i="3"/>
  <c r="L25" i="3"/>
  <c r="M25" i="3"/>
  <c r="L26" i="3"/>
  <c r="M26" i="3"/>
  <c r="K26" i="3"/>
  <c r="L24" i="3"/>
  <c r="M24" i="3"/>
  <c r="K24" i="3"/>
  <c r="M23" i="3"/>
  <c r="K23" i="3"/>
  <c r="L23" i="3"/>
  <c r="E133" i="1"/>
  <c r="E67" i="1"/>
  <c r="M22" i="3"/>
  <c r="K22" i="3"/>
  <c r="L22" i="3"/>
  <c r="G117" i="15"/>
  <c r="M100" i="3" s="1"/>
  <c r="E32" i="2" s="1"/>
  <c r="E59" i="1"/>
  <c r="E55" i="1"/>
  <c r="K55" i="1" s="1"/>
  <c r="E58" i="1"/>
  <c r="E57" i="1"/>
  <c r="E56" i="1"/>
  <c r="M90" i="1"/>
  <c r="K90" i="1"/>
  <c r="M89" i="1"/>
  <c r="K89" i="1"/>
  <c r="M88" i="1"/>
  <c r="K88" i="1"/>
  <c r="M91" i="1"/>
  <c r="K91" i="1"/>
  <c r="M87" i="1"/>
  <c r="K87" i="1"/>
  <c r="M74" i="1"/>
  <c r="K74" i="1"/>
  <c r="K44" i="4" s="1"/>
  <c r="L74" i="1"/>
  <c r="K71" i="1"/>
  <c r="K41" i="4" s="1"/>
  <c r="L71" i="1"/>
  <c r="M71" i="1"/>
  <c r="K72" i="1"/>
  <c r="K42" i="4" s="1"/>
  <c r="M72" i="1"/>
  <c r="L72" i="1"/>
  <c r="K76" i="1"/>
  <c r="K46" i="4" s="1"/>
  <c r="L76" i="1"/>
  <c r="M76" i="1"/>
  <c r="K70" i="1"/>
  <c r="K40" i="4" s="1"/>
  <c r="L75" i="1"/>
  <c r="M75" i="1"/>
  <c r="K75" i="1"/>
  <c r="K45" i="4" s="1"/>
  <c r="M77" i="1"/>
  <c r="L77" i="1"/>
  <c r="M81" i="1"/>
  <c r="L81" i="1"/>
  <c r="K80" i="1"/>
  <c r="K50" i="4" s="1"/>
  <c r="L80" i="1"/>
  <c r="K79" i="1"/>
  <c r="K49" i="4" s="1"/>
  <c r="L79" i="1"/>
  <c r="G39" i="3"/>
  <c r="G40" i="3"/>
  <c r="G41" i="3"/>
  <c r="G42" i="3"/>
  <c r="G38" i="3"/>
  <c r="K38" i="3" s="1"/>
  <c r="M133" i="1" l="1"/>
  <c r="E28" i="4" s="1"/>
  <c r="L133" i="1"/>
  <c r="D28" i="4" s="1"/>
  <c r="K133" i="1"/>
  <c r="C28" i="4" s="1"/>
  <c r="G28" i="4" s="1"/>
  <c r="L38" i="3"/>
  <c r="D14" i="2" s="1"/>
  <c r="M38" i="3"/>
  <c r="E14" i="2" s="1"/>
  <c r="M55" i="1" l="1"/>
  <c r="L55" i="1"/>
  <c r="E28" i="13"/>
  <c r="E26" i="13"/>
  <c r="E27" i="13"/>
  <c r="E24" i="13"/>
  <c r="E25" i="13"/>
  <c r="J3" i="13"/>
  <c r="J4" i="13"/>
  <c r="E51" i="1" s="1"/>
  <c r="E45" i="1" s="1"/>
  <c r="L45" i="1" s="1"/>
  <c r="J5" i="13"/>
  <c r="E52" i="1" s="1"/>
  <c r="E46" i="1" s="1"/>
  <c r="K46" i="1" s="1"/>
  <c r="J6" i="13"/>
  <c r="E53" i="1" s="1"/>
  <c r="E47" i="1" s="1"/>
  <c r="J2" i="13"/>
  <c r="E49" i="1" s="1"/>
  <c r="E43" i="1" s="1"/>
  <c r="E50" i="1" l="1"/>
  <c r="E44" i="1" s="1"/>
  <c r="K44" i="1" s="1"/>
  <c r="K45" i="1"/>
  <c r="L43" i="1"/>
  <c r="K43" i="1"/>
  <c r="M43" i="1"/>
  <c r="M47" i="1"/>
  <c r="L47" i="1"/>
  <c r="K47" i="1"/>
  <c r="M49" i="1"/>
  <c r="L49" i="1"/>
  <c r="K49" i="1"/>
  <c r="C7" i="13"/>
  <c r="D7" i="13"/>
  <c r="E7" i="13"/>
  <c r="F7" i="13"/>
  <c r="G7" i="13"/>
  <c r="H7" i="13"/>
  <c r="B7" i="13"/>
  <c r="E42" i="1" l="1"/>
  <c r="K50" i="1"/>
  <c r="G78" i="15"/>
  <c r="C1" i="2" l="1"/>
  <c r="D27" i="2"/>
  <c r="C27" i="2"/>
  <c r="D26" i="2"/>
  <c r="C26" i="2"/>
  <c r="G26" i="2" s="1"/>
  <c r="D25" i="2"/>
  <c r="C25" i="2"/>
  <c r="G32" i="2"/>
  <c r="M74" i="3"/>
  <c r="K70" i="3"/>
  <c r="K63" i="3"/>
  <c r="L63" i="3"/>
  <c r="L53" i="3"/>
  <c r="M53" i="3"/>
  <c r="K55" i="3"/>
  <c r="L55" i="3"/>
  <c r="M55" i="3"/>
  <c r="K56" i="3"/>
  <c r="L56" i="3"/>
  <c r="M56" i="3"/>
  <c r="K57" i="3"/>
  <c r="L57" i="3"/>
  <c r="M57" i="3"/>
  <c r="K60" i="3"/>
  <c r="L60" i="3"/>
  <c r="K61" i="3"/>
  <c r="L61" i="3"/>
  <c r="K62" i="3"/>
  <c r="L62" i="3"/>
  <c r="K65" i="3"/>
  <c r="L65" i="3"/>
  <c r="M65" i="3"/>
  <c r="K66" i="3"/>
  <c r="L66" i="3"/>
  <c r="M66" i="3"/>
  <c r="K67" i="3"/>
  <c r="L67" i="3"/>
  <c r="M67" i="3"/>
  <c r="K71" i="3"/>
  <c r="L71" i="3"/>
  <c r="M52" i="3"/>
  <c r="L52" i="3"/>
  <c r="K39" i="3"/>
  <c r="C15" i="2" s="1"/>
  <c r="G15" i="2" s="1"/>
  <c r="K40" i="3"/>
  <c r="C16" i="2" s="1"/>
  <c r="G16" i="2" s="1"/>
  <c r="K42" i="3"/>
  <c r="C18" i="2" s="1"/>
  <c r="G18" i="2" s="1"/>
  <c r="K44" i="3"/>
  <c r="C14" i="2" s="1"/>
  <c r="K45" i="3"/>
  <c r="K46" i="3"/>
  <c r="K47" i="3"/>
  <c r="K48" i="3"/>
  <c r="G88" i="15"/>
  <c r="G87" i="15"/>
  <c r="M44" i="1" s="1"/>
  <c r="F87" i="15"/>
  <c r="L44" i="1" s="1"/>
  <c r="G83" i="15"/>
  <c r="F83" i="15"/>
  <c r="L46" i="1" s="1"/>
  <c r="G82" i="15"/>
  <c r="G81" i="15"/>
  <c r="E80" i="15"/>
  <c r="K53" i="3" s="1"/>
  <c r="E79" i="15"/>
  <c r="K52" i="3" s="1"/>
  <c r="E78" i="15"/>
  <c r="G76" i="15"/>
  <c r="G75" i="15"/>
  <c r="G74" i="15"/>
  <c r="G73" i="15"/>
  <c r="G72" i="15"/>
  <c r="M62" i="3" s="1"/>
  <c r="G71" i="15"/>
  <c r="M61" i="3" s="1"/>
  <c r="G70" i="15"/>
  <c r="M63" i="3" s="1"/>
  <c r="G69" i="15"/>
  <c r="M60" i="3" s="1"/>
  <c r="J12" i="3"/>
  <c r="J32" i="3"/>
  <c r="J16" i="3"/>
  <c r="J14" i="3"/>
  <c r="J13" i="3"/>
  <c r="J11" i="3"/>
  <c r="J9" i="3"/>
  <c r="J19" i="1"/>
  <c r="J20" i="1"/>
  <c r="J21" i="1"/>
  <c r="J22" i="1"/>
  <c r="J23" i="1"/>
  <c r="J25" i="1"/>
  <c r="J18" i="1"/>
  <c r="F4" i="15"/>
  <c r="L28" i="3" s="1"/>
  <c r="G4" i="15"/>
  <c r="M28" i="3" s="1"/>
  <c r="E4" i="15"/>
  <c r="K28" i="3" s="1"/>
  <c r="J9" i="1"/>
  <c r="J10" i="1"/>
  <c r="J11" i="1"/>
  <c r="J12" i="1"/>
  <c r="J13" i="1"/>
  <c r="J15" i="1"/>
  <c r="J8" i="1"/>
  <c r="J10" i="3"/>
  <c r="I31" i="15"/>
  <c r="E31" i="15" s="1"/>
  <c r="G30" i="15"/>
  <c r="M21" i="3" s="1"/>
  <c r="M20" i="3" s="1"/>
  <c r="E10" i="2" s="1"/>
  <c r="F30" i="15"/>
  <c r="L21" i="3" s="1"/>
  <c r="L20" i="3" s="1"/>
  <c r="D10" i="2" s="1"/>
  <c r="E30" i="15"/>
  <c r="K21" i="3" s="1"/>
  <c r="K20" i="3" s="1"/>
  <c r="C10" i="2" s="1"/>
  <c r="G29" i="15"/>
  <c r="F29" i="15"/>
  <c r="E29" i="15"/>
  <c r="G28" i="15"/>
  <c r="F28" i="15"/>
  <c r="E28" i="15"/>
  <c r="G27" i="15"/>
  <c r="F27" i="15"/>
  <c r="E27" i="15"/>
  <c r="G26" i="15"/>
  <c r="F26" i="15"/>
  <c r="E26" i="15"/>
  <c r="G25" i="15"/>
  <c r="F25" i="15"/>
  <c r="E25" i="15"/>
  <c r="M27" i="3" l="1"/>
  <c r="E11" i="2"/>
  <c r="E9" i="2" s="1"/>
  <c r="L27" i="3"/>
  <c r="D11" i="2"/>
  <c r="D9" i="2" s="1"/>
  <c r="G10" i="2"/>
  <c r="K27" i="3"/>
  <c r="C11" i="2"/>
  <c r="G11" i="2" s="1"/>
  <c r="C24" i="2"/>
  <c r="G14" i="2"/>
  <c r="L11" i="3"/>
  <c r="M11" i="3"/>
  <c r="K11" i="3"/>
  <c r="J10" i="2" s="1"/>
  <c r="M14" i="3"/>
  <c r="L14" i="3"/>
  <c r="K14" i="3"/>
  <c r="J13" i="2" s="1"/>
  <c r="K10" i="3"/>
  <c r="J9" i="2" s="1"/>
  <c r="M10" i="3"/>
  <c r="L10" i="3"/>
  <c r="M12" i="3"/>
  <c r="L12" i="3"/>
  <c r="K12" i="3"/>
  <c r="J11" i="2" s="1"/>
  <c r="K13" i="3"/>
  <c r="J12" i="2" s="1"/>
  <c r="L13" i="3"/>
  <c r="M13" i="3"/>
  <c r="K16" i="3"/>
  <c r="L16" i="3"/>
  <c r="M16" i="3"/>
  <c r="M9" i="3"/>
  <c r="K9" i="3"/>
  <c r="J8" i="2" s="1"/>
  <c r="L9" i="3"/>
  <c r="K32" i="3"/>
  <c r="M32" i="3"/>
  <c r="E12" i="2" s="1"/>
  <c r="L32" i="3"/>
  <c r="D12" i="2" s="1"/>
  <c r="D24" i="2"/>
  <c r="G27" i="2"/>
  <c r="K58" i="3"/>
  <c r="C21" i="2" s="1"/>
  <c r="G21" i="2" s="1"/>
  <c r="K68" i="3"/>
  <c r="M58" i="3"/>
  <c r="E21" i="2" s="1"/>
  <c r="M68" i="3"/>
  <c r="L58" i="3"/>
  <c r="D21" i="2" s="1"/>
  <c r="L68" i="3"/>
  <c r="G25" i="2"/>
  <c r="L82" i="3"/>
  <c r="K79" i="3"/>
  <c r="G31" i="15"/>
  <c r="M71" i="3"/>
  <c r="M45" i="1"/>
  <c r="M41" i="3"/>
  <c r="E17" i="2" s="1"/>
  <c r="M46" i="1"/>
  <c r="D20" i="2"/>
  <c r="E20" i="2"/>
  <c r="E22" i="2"/>
  <c r="D22" i="2"/>
  <c r="C31" i="2"/>
  <c r="K84" i="3"/>
  <c r="C30" i="2" s="1"/>
  <c r="G30" i="2" s="1"/>
  <c r="D31" i="2"/>
  <c r="C20" i="2"/>
  <c r="G20" i="2" s="1"/>
  <c r="C22" i="2"/>
  <c r="G22" i="2" s="1"/>
  <c r="L84" i="3"/>
  <c r="D30" i="2" s="1"/>
  <c r="M79" i="3"/>
  <c r="L79" i="3"/>
  <c r="K82" i="3"/>
  <c r="M82" i="3"/>
  <c r="K74" i="3"/>
  <c r="C23" i="2" s="1"/>
  <c r="L74" i="3"/>
  <c r="M70" i="3"/>
  <c r="L70" i="3"/>
  <c r="M47" i="3"/>
  <c r="L47" i="3"/>
  <c r="M46" i="3"/>
  <c r="L46" i="3"/>
  <c r="K41" i="3"/>
  <c r="M45" i="3"/>
  <c r="M40" i="3"/>
  <c r="E16" i="2" s="1"/>
  <c r="L45" i="3"/>
  <c r="L40" i="3"/>
  <c r="D16" i="2" s="1"/>
  <c r="M48" i="3"/>
  <c r="M44" i="3"/>
  <c r="M39" i="3"/>
  <c r="E15" i="2" s="1"/>
  <c r="L48" i="3"/>
  <c r="L44" i="3"/>
  <c r="L39" i="3"/>
  <c r="D15" i="2" s="1"/>
  <c r="M42" i="3"/>
  <c r="E18" i="2" s="1"/>
  <c r="L41" i="3"/>
  <c r="D17" i="2" s="1"/>
  <c r="L42" i="3"/>
  <c r="D18" i="2" s="1"/>
  <c r="F31" i="15"/>
  <c r="C9" i="2" l="1"/>
  <c r="G9" i="2" s="1"/>
  <c r="G23" i="2"/>
  <c r="C19" i="2"/>
  <c r="G19" i="2" s="1"/>
  <c r="E13" i="2"/>
  <c r="D13" i="2"/>
  <c r="C12" i="2"/>
  <c r="G12" i="2" s="1"/>
  <c r="G24" i="2"/>
  <c r="L78" i="3"/>
  <c r="D29" i="2" s="1"/>
  <c r="D28" i="2" s="1"/>
  <c r="G31" i="2"/>
  <c r="K8" i="3"/>
  <c r="C7" i="2" s="1"/>
  <c r="L15" i="3"/>
  <c r="D8" i="2"/>
  <c r="M15" i="3"/>
  <c r="E8" i="2"/>
  <c r="K15" i="3"/>
  <c r="C8" i="2"/>
  <c r="G8" i="2" s="1"/>
  <c r="K78" i="3"/>
  <c r="C29" i="2" s="1"/>
  <c r="C28" i="2" s="1"/>
  <c r="K50" i="3"/>
  <c r="M8" i="3"/>
  <c r="E7" i="2" s="1"/>
  <c r="L8" i="3"/>
  <c r="D7" i="2" s="1"/>
  <c r="E23" i="2"/>
  <c r="E19" i="2" s="1"/>
  <c r="D23" i="2"/>
  <c r="D19" i="2" s="1"/>
  <c r="L50" i="3"/>
  <c r="K37" i="3"/>
  <c r="C17" i="2"/>
  <c r="C13" i="2" s="1"/>
  <c r="M78" i="3"/>
  <c r="E29" i="2" s="1"/>
  <c r="M50" i="3"/>
  <c r="L37" i="3"/>
  <c r="M37" i="3"/>
  <c r="J14" i="2" l="1"/>
  <c r="J16" i="2" s="1"/>
  <c r="G17" i="2"/>
  <c r="G13" i="2"/>
  <c r="D6" i="2"/>
  <c r="D5" i="2" s="1"/>
  <c r="D33" i="2" s="1"/>
  <c r="E6" i="2"/>
  <c r="G7" i="2"/>
  <c r="C6" i="2"/>
  <c r="C5" i="2" s="1"/>
  <c r="C33" i="2" s="1"/>
  <c r="G18" i="4"/>
  <c r="G28" i="2"/>
  <c r="G29" i="2"/>
  <c r="D20" i="4"/>
  <c r="D21" i="4"/>
  <c r="D22" i="4"/>
  <c r="D23" i="4"/>
  <c r="D24" i="4"/>
  <c r="D25" i="4"/>
  <c r="C1" i="4"/>
  <c r="K13" i="2" l="1"/>
  <c r="K12" i="2"/>
  <c r="K9" i="2"/>
  <c r="K10" i="2"/>
  <c r="K14" i="2"/>
  <c r="K11" i="2"/>
  <c r="K16" i="2"/>
  <c r="K8" i="2"/>
  <c r="E5" i="2"/>
  <c r="G33" i="2"/>
  <c r="F33" i="2"/>
  <c r="G6" i="2"/>
  <c r="G5" i="2"/>
  <c r="I7" i="13"/>
  <c r="F5" i="2" l="1"/>
  <c r="L30" i="4"/>
  <c r="K56" i="1"/>
  <c r="K57" i="1"/>
  <c r="K58" i="1"/>
  <c r="K59" i="1"/>
  <c r="L59" i="1"/>
  <c r="M59" i="1"/>
  <c r="K51" i="1"/>
  <c r="K52" i="1"/>
  <c r="K53" i="1"/>
  <c r="L53" i="1"/>
  <c r="M53" i="1"/>
  <c r="F27" i="2" l="1"/>
  <c r="F10" i="2"/>
  <c r="F18" i="2"/>
  <c r="F26" i="2"/>
  <c r="F11" i="2"/>
  <c r="F19" i="2"/>
  <c r="F14" i="2"/>
  <c r="F22" i="2"/>
  <c r="F30" i="2"/>
  <c r="F15" i="2"/>
  <c r="F31" i="2"/>
  <c r="F24" i="2"/>
  <c r="F17" i="2"/>
  <c r="F12" i="2"/>
  <c r="F20" i="2"/>
  <c r="F28" i="2"/>
  <c r="F13" i="2"/>
  <c r="F21" i="2"/>
  <c r="F29" i="2"/>
  <c r="F23" i="2"/>
  <c r="F8" i="2"/>
  <c r="F32" i="2"/>
  <c r="F25" i="2"/>
  <c r="F16" i="2"/>
  <c r="F9" i="2"/>
  <c r="F7" i="2"/>
  <c r="F6" i="2"/>
  <c r="M70" i="1"/>
  <c r="L70" i="1"/>
  <c r="K78" i="1" l="1"/>
  <c r="K48" i="4" s="1"/>
  <c r="L78" i="1"/>
  <c r="M78" i="1"/>
  <c r="M69" i="1"/>
  <c r="K69" i="1"/>
  <c r="K39" i="4" s="1"/>
  <c r="K68" i="1" l="1"/>
  <c r="C12" i="4" s="1"/>
  <c r="G12" i="4" s="1"/>
  <c r="M68" i="1"/>
  <c r="E12" i="4" s="1"/>
  <c r="E38" i="1"/>
  <c r="E35" i="1"/>
  <c r="L25" i="4" s="1"/>
  <c r="E37" i="1"/>
  <c r="E36" i="1"/>
  <c r="E39" i="1"/>
  <c r="L29" i="4" s="1"/>
  <c r="E42" i="15"/>
  <c r="C2" i="12"/>
  <c r="E122" i="1" s="1"/>
  <c r="B15" i="12"/>
  <c r="E34" i="1" l="1"/>
  <c r="K52" i="4"/>
  <c r="D2" i="12"/>
  <c r="K36" i="1"/>
  <c r="J26" i="4" s="1"/>
  <c r="L26" i="4"/>
  <c r="K37" i="1"/>
  <c r="J27" i="4" s="1"/>
  <c r="L27" i="4"/>
  <c r="K38" i="1"/>
  <c r="J28" i="4" s="1"/>
  <c r="L28" i="4"/>
  <c r="L39" i="1"/>
  <c r="M39" i="1"/>
  <c r="K39" i="1"/>
  <c r="J29" i="4" s="1"/>
  <c r="M35" i="1"/>
  <c r="L35" i="1"/>
  <c r="K35" i="1"/>
  <c r="L61" i="1"/>
  <c r="D10" i="4" s="1"/>
  <c r="D1" i="1"/>
  <c r="G114" i="15"/>
  <c r="G113" i="15"/>
  <c r="G112" i="15"/>
  <c r="G111" i="15"/>
  <c r="G110" i="15"/>
  <c r="G109" i="15"/>
  <c r="G106" i="15"/>
  <c r="G102" i="15"/>
  <c r="G101" i="15"/>
  <c r="G100" i="15"/>
  <c r="G99" i="15"/>
  <c r="G98" i="15"/>
  <c r="G97" i="15"/>
  <c r="G96" i="15"/>
  <c r="G95" i="15"/>
  <c r="G94" i="15"/>
  <c r="G89" i="15"/>
  <c r="F42" i="15"/>
  <c r="F41" i="15"/>
  <c r="L91" i="1" s="1"/>
  <c r="F39" i="15"/>
  <c r="L90" i="1" s="1"/>
  <c r="F38" i="15"/>
  <c r="L87" i="1" s="1"/>
  <c r="F37" i="15"/>
  <c r="L88" i="1" s="1"/>
  <c r="F36" i="15"/>
  <c r="L89" i="1" s="1"/>
  <c r="F35" i="15"/>
  <c r="F34" i="15"/>
  <c r="F33" i="15"/>
  <c r="G11" i="15"/>
  <c r="G8" i="15"/>
  <c r="C20" i="13"/>
  <c r="B19" i="13" s="1"/>
  <c r="C6" i="12"/>
  <c r="C5" i="12"/>
  <c r="C4" i="12"/>
  <c r="C3" i="12"/>
  <c r="M116" i="1" l="1"/>
  <c r="M108" i="3" s="1"/>
  <c r="E27" i="2" s="1"/>
  <c r="M114" i="1"/>
  <c r="M106" i="3" s="1"/>
  <c r="E25" i="2" s="1"/>
  <c r="M115" i="1"/>
  <c r="M107" i="3" s="1"/>
  <c r="E26" i="2" s="1"/>
  <c r="M111" i="1"/>
  <c r="M93" i="3"/>
  <c r="M90" i="3"/>
  <c r="M84" i="3" s="1"/>
  <c r="E30" i="2" s="1"/>
  <c r="L69" i="1"/>
  <c r="C9" i="4"/>
  <c r="I14" i="1"/>
  <c r="G14" i="1" s="1"/>
  <c r="I24" i="1"/>
  <c r="G24" i="1" s="1"/>
  <c r="E24" i="1" s="1"/>
  <c r="E106" i="1"/>
  <c r="L31" i="4"/>
  <c r="J25" i="4"/>
  <c r="I28" i="1"/>
  <c r="D3" i="12"/>
  <c r="E123" i="1"/>
  <c r="D4" i="12"/>
  <c r="E124" i="1"/>
  <c r="D5" i="12"/>
  <c r="E125" i="1"/>
  <c r="D6" i="12"/>
  <c r="E126" i="1"/>
  <c r="K34" i="1"/>
  <c r="L38" i="1"/>
  <c r="L58" i="1"/>
  <c r="L52" i="1"/>
  <c r="M37" i="1"/>
  <c r="M57" i="1"/>
  <c r="M51" i="1"/>
  <c r="L56" i="1"/>
  <c r="L50" i="1"/>
  <c r="L36" i="1"/>
  <c r="M56" i="1"/>
  <c r="M50" i="1"/>
  <c r="M36" i="1"/>
  <c r="L37" i="1"/>
  <c r="L57" i="1"/>
  <c r="L51" i="1"/>
  <c r="M38" i="1"/>
  <c r="M58" i="1"/>
  <c r="M52" i="1"/>
  <c r="K94" i="1"/>
  <c r="B15" i="13"/>
  <c r="B17" i="13"/>
  <c r="B18" i="13"/>
  <c r="B16" i="13"/>
  <c r="I25" i="1"/>
  <c r="G25" i="1" s="1"/>
  <c r="E25" i="1" s="1"/>
  <c r="I21" i="1"/>
  <c r="G21" i="1" s="1"/>
  <c r="E21" i="1" s="1"/>
  <c r="I20" i="1"/>
  <c r="G20" i="1" s="1"/>
  <c r="E20" i="1" s="1"/>
  <c r="I13" i="1"/>
  <c r="G13" i="1" s="1"/>
  <c r="I19" i="1"/>
  <c r="G19" i="1" s="1"/>
  <c r="I12" i="1"/>
  <c r="G12" i="1" s="1"/>
  <c r="E12" i="1" s="1"/>
  <c r="I23" i="1"/>
  <c r="G23" i="1" s="1"/>
  <c r="E23" i="1" s="1"/>
  <c r="I11" i="1"/>
  <c r="G11" i="1" s="1"/>
  <c r="E11" i="1" s="1"/>
  <c r="I22" i="1"/>
  <c r="G22" i="1" s="1"/>
  <c r="E22" i="1" s="1"/>
  <c r="I8" i="1"/>
  <c r="G8" i="1" s="1"/>
  <c r="I15" i="1"/>
  <c r="I10" i="1"/>
  <c r="G10" i="1" s="1"/>
  <c r="E10" i="1" s="1"/>
  <c r="I18" i="1"/>
  <c r="G18" i="1" s="1"/>
  <c r="I9" i="1"/>
  <c r="G9" i="1" s="1"/>
  <c r="M92" i="3" l="1"/>
  <c r="E31" i="2" s="1"/>
  <c r="E28" i="2" s="1"/>
  <c r="G29" i="1"/>
  <c r="E18" i="1"/>
  <c r="K18" i="1" s="1"/>
  <c r="G17" i="1"/>
  <c r="G15" i="1"/>
  <c r="E15" i="1" s="1"/>
  <c r="J15" i="4" s="1"/>
  <c r="E8" i="1"/>
  <c r="L8" i="1" s="1"/>
  <c r="E14" i="1"/>
  <c r="J14" i="4" s="1"/>
  <c r="M113" i="1"/>
  <c r="E18" i="4" s="1"/>
  <c r="E24" i="2"/>
  <c r="L68" i="1"/>
  <c r="D12" i="4" s="1"/>
  <c r="G9" i="4"/>
  <c r="K24" i="1"/>
  <c r="L24" i="1"/>
  <c r="M24" i="1"/>
  <c r="E105" i="1"/>
  <c r="K105" i="1" s="1"/>
  <c r="C16" i="4" s="1"/>
  <c r="G16" i="4" s="1"/>
  <c r="D9" i="4"/>
  <c r="D8" i="4" s="1"/>
  <c r="E9" i="4"/>
  <c r="J10" i="4"/>
  <c r="J9" i="4"/>
  <c r="L25" i="1"/>
  <c r="D29" i="13"/>
  <c r="E29" i="13"/>
  <c r="C29" i="13"/>
  <c r="L34" i="1"/>
  <c r="M34" i="1"/>
  <c r="J13" i="4"/>
  <c r="M12" i="1"/>
  <c r="J12" i="4"/>
  <c r="M11" i="1"/>
  <c r="J11" i="4"/>
  <c r="K8" i="1"/>
  <c r="K106" i="1"/>
  <c r="M106" i="1"/>
  <c r="L106" i="1"/>
  <c r="M94" i="1"/>
  <c r="M93" i="1"/>
  <c r="K93" i="1"/>
  <c r="K95" i="1"/>
  <c r="M95" i="1"/>
  <c r="K96" i="1"/>
  <c r="M96" i="1"/>
  <c r="M97" i="1"/>
  <c r="K97" i="1"/>
  <c r="L96" i="1"/>
  <c r="L94" i="1"/>
  <c r="L93" i="1"/>
  <c r="L97" i="1"/>
  <c r="L95" i="1"/>
  <c r="K19" i="1"/>
  <c r="L19" i="1"/>
  <c r="M19" i="1"/>
  <c r="M20" i="1"/>
  <c r="K20" i="1"/>
  <c r="L20" i="1"/>
  <c r="M13" i="1"/>
  <c r="K13" i="1"/>
  <c r="L13" i="1"/>
  <c r="K21" i="1"/>
  <c r="L21" i="1"/>
  <c r="M21" i="1"/>
  <c r="M8" i="1"/>
  <c r="M10" i="1"/>
  <c r="K10" i="1"/>
  <c r="L10" i="1"/>
  <c r="K22" i="1"/>
  <c r="L22" i="1"/>
  <c r="K11" i="1"/>
  <c r="L11" i="1"/>
  <c r="M22" i="1"/>
  <c r="L23" i="1"/>
  <c r="M23" i="1"/>
  <c r="K23" i="1"/>
  <c r="M9" i="1"/>
  <c r="K9" i="1"/>
  <c r="L9" i="1"/>
  <c r="K12" i="1"/>
  <c r="L12" i="1"/>
  <c r="M18" i="1" l="1"/>
  <c r="L18" i="1"/>
  <c r="L17" i="1" s="1"/>
  <c r="J8" i="4"/>
  <c r="E33" i="2"/>
  <c r="K14" i="1"/>
  <c r="K14" i="4" s="1"/>
  <c r="E29" i="1"/>
  <c r="K29" i="1" s="1"/>
  <c r="K27" i="1" s="1"/>
  <c r="K15" i="1"/>
  <c r="M15" i="1"/>
  <c r="L15" i="1"/>
  <c r="E7" i="1"/>
  <c r="G27" i="1"/>
  <c r="M14" i="1"/>
  <c r="G7" i="1"/>
  <c r="L14" i="1"/>
  <c r="C17" i="4"/>
  <c r="G17" i="4" s="1"/>
  <c r="D17" i="4"/>
  <c r="E17" i="4"/>
  <c r="L105" i="1"/>
  <c r="D16" i="4" s="1"/>
  <c r="M105" i="1"/>
  <c r="E16" i="4" s="1"/>
  <c r="K9" i="4"/>
  <c r="M104" i="1"/>
  <c r="K104" i="1"/>
  <c r="K98" i="1" s="1"/>
  <c r="L104" i="1"/>
  <c r="D15" i="4" s="1"/>
  <c r="K25" i="1"/>
  <c r="K17" i="1" s="1"/>
  <c r="E17" i="1"/>
  <c r="M25" i="1"/>
  <c r="M17" i="1" s="1"/>
  <c r="K10" i="4"/>
  <c r="K12" i="4"/>
  <c r="K11" i="4"/>
  <c r="K8" i="4"/>
  <c r="K13" i="4"/>
  <c r="K86" i="1"/>
  <c r="M86" i="1"/>
  <c r="L86" i="1"/>
  <c r="M61" i="1"/>
  <c r="E10" i="4" s="1"/>
  <c r="E8" i="4" s="1"/>
  <c r="K61" i="1"/>
  <c r="C10" i="4" s="1"/>
  <c r="C8" i="4" s="1"/>
  <c r="M7" i="1" l="1"/>
  <c r="K15" i="4"/>
  <c r="L7" i="1"/>
  <c r="D6" i="4" s="1"/>
  <c r="K7" i="1"/>
  <c r="C6" i="4" s="1"/>
  <c r="M29" i="1"/>
  <c r="E27" i="1"/>
  <c r="J16" i="4" s="1"/>
  <c r="J17" i="4" s="1"/>
  <c r="L29" i="1"/>
  <c r="K16" i="4"/>
  <c r="C7" i="4"/>
  <c r="G7" i="4" s="1"/>
  <c r="E6" i="4"/>
  <c r="G8" i="4"/>
  <c r="G10" i="4"/>
  <c r="M98" i="1"/>
  <c r="C15" i="4"/>
  <c r="L98" i="1"/>
  <c r="E15" i="4"/>
  <c r="E14" i="4" s="1"/>
  <c r="J30" i="4"/>
  <c r="J31" i="4" s="1"/>
  <c r="D14" i="4"/>
  <c r="K17" i="4" l="1"/>
  <c r="L16" i="4" s="1"/>
  <c r="L27" i="1"/>
  <c r="D7" i="4" s="1"/>
  <c r="D5" i="4" s="1"/>
  <c r="M27" i="1"/>
  <c r="E7" i="4" s="1"/>
  <c r="E5" i="4" s="1"/>
  <c r="G6" i="4"/>
  <c r="C5" i="4"/>
  <c r="C14" i="4"/>
  <c r="G14" i="4" s="1"/>
  <c r="L15" i="4" l="1"/>
  <c r="L11" i="4"/>
  <c r="L8" i="4"/>
  <c r="L10" i="4"/>
  <c r="L14" i="4"/>
  <c r="L13" i="4"/>
  <c r="L9" i="4"/>
  <c r="L12" i="4"/>
  <c r="G5" i="4"/>
  <c r="K29" i="4"/>
  <c r="K28" i="4"/>
  <c r="K27" i="4"/>
  <c r="K26" i="4"/>
  <c r="K25" i="4"/>
  <c r="K30" i="4"/>
  <c r="L17" i="4" l="1"/>
  <c r="K31" i="4"/>
  <c r="K122" i="1"/>
  <c r="M122" i="1" s="1"/>
  <c r="K124" i="1"/>
  <c r="E128" i="1"/>
  <c r="M128" i="1" s="1"/>
  <c r="E26" i="4" s="1"/>
  <c r="K125" i="1"/>
  <c r="C23" i="4" s="1"/>
  <c r="G23" i="4" s="1"/>
  <c r="K123" i="1"/>
  <c r="M123" i="1" s="1"/>
  <c r="E21" i="4" s="1"/>
  <c r="K126" i="1"/>
  <c r="M126" i="1" s="1"/>
  <c r="E24" i="4" s="1"/>
  <c r="K127" i="1"/>
  <c r="M127" i="1" s="1"/>
  <c r="E25" i="4" s="1"/>
  <c r="K67" i="1"/>
  <c r="C13" i="4" s="1"/>
  <c r="G13" i="4" s="1"/>
  <c r="G15" i="4"/>
  <c r="M125" i="1" l="1"/>
  <c r="E23" i="4" s="1"/>
  <c r="C21" i="4"/>
  <c r="G21" i="4" s="1"/>
  <c r="K128" i="1"/>
  <c r="C26" i="4" s="1"/>
  <c r="G26" i="4" s="1"/>
  <c r="C24" i="4"/>
  <c r="G24" i="4" s="1"/>
  <c r="C20" i="4"/>
  <c r="G20" i="4" s="1"/>
  <c r="L128" i="1"/>
  <c r="D26" i="4" s="1"/>
  <c r="D19" i="4" s="1"/>
  <c r="E20" i="4"/>
  <c r="C11" i="4"/>
  <c r="C25" i="4"/>
  <c r="G25" i="4" s="1"/>
  <c r="M124" i="1"/>
  <c r="E22" i="4" s="1"/>
  <c r="L67" i="1"/>
  <c r="D13" i="4" s="1"/>
  <c r="D11" i="4" s="1"/>
  <c r="C22" i="4"/>
  <c r="G22" i="4" s="1"/>
  <c r="M67" i="1"/>
  <c r="E13" i="4" s="1"/>
  <c r="E11" i="4" s="1"/>
  <c r="G11" i="4" l="1"/>
  <c r="D27" i="4"/>
  <c r="C50" i="4" s="1"/>
  <c r="E19" i="4"/>
  <c r="E27" i="4" s="1"/>
  <c r="D50" i="4" s="1"/>
  <c r="K121" i="1"/>
  <c r="L121" i="1"/>
  <c r="C19" i="4"/>
  <c r="C27" i="4" s="1"/>
  <c r="M121" i="1"/>
  <c r="D51" i="4" l="1"/>
  <c r="C51" i="4"/>
  <c r="G27" i="4"/>
  <c r="E50" i="4" s="1"/>
  <c r="E51" i="4" s="1"/>
  <c r="F18" i="4"/>
  <c r="G19" i="4"/>
  <c r="F12" i="4" l="1"/>
  <c r="F5" i="4"/>
  <c r="F14" i="4"/>
  <c r="F17" i="4"/>
  <c r="F15" i="4"/>
  <c r="F24" i="4"/>
  <c r="F9" i="4"/>
  <c r="F11" i="4"/>
  <c r="F27" i="4"/>
  <c r="F19" i="4"/>
  <c r="F10" i="4"/>
  <c r="F20" i="4"/>
  <c r="F21" i="4"/>
  <c r="F26" i="4"/>
  <c r="F8" i="4"/>
  <c r="F7" i="4"/>
  <c r="F13" i="4"/>
  <c r="F25" i="4"/>
  <c r="F23" i="4"/>
  <c r="F6" i="4"/>
  <c r="F22" i="4"/>
  <c r="F16" i="4"/>
</calcChain>
</file>

<file path=xl/sharedStrings.xml><?xml version="1.0" encoding="utf-8"?>
<sst xmlns="http://schemas.openxmlformats.org/spreadsheetml/2006/main" count="17492" uniqueCount="927">
  <si>
    <t>Introduction - Mode d'emploi</t>
  </si>
  <si>
    <t>MODE D'EMPLOI</t>
  </si>
  <si>
    <t>Données</t>
  </si>
  <si>
    <r>
      <t xml:space="preserve">Lorsque des données cantonales/fédérales ont été intégrées mais que l'administration communale </t>
    </r>
    <r>
      <rPr>
        <b/>
        <sz val="12"/>
        <color theme="1"/>
        <rFont val="Calibri"/>
        <family val="2"/>
        <scheme val="minor"/>
      </rPr>
      <t>peut</t>
    </r>
    <r>
      <rPr>
        <sz val="12"/>
        <color theme="1"/>
        <rFont val="Calibri"/>
        <family val="2"/>
        <scheme val="minor"/>
      </rPr>
      <t xml:space="preserve"> fournir des données plus précises (ex. déplacements pendulaires), ces données sont représentées de la manière suivante:</t>
    </r>
  </si>
  <si>
    <t>À remplir</t>
  </si>
  <si>
    <t>ONGLETS:</t>
  </si>
  <si>
    <t>Résultats et graphiques</t>
  </si>
  <si>
    <t>Saisie des données</t>
  </si>
  <si>
    <t xml:space="preserve">Bilan carbone de l'administration communale: </t>
  </si>
  <si>
    <t>équivalents temps-pleins</t>
  </si>
  <si>
    <t>Employés (OFS 2018)</t>
  </si>
  <si>
    <t>Employés (OFS 2019)</t>
  </si>
  <si>
    <t>Travailleurs frontaliers</t>
  </si>
  <si>
    <t>Ville/Commune</t>
  </si>
  <si>
    <t>Année du reporting</t>
  </si>
  <si>
    <t>Veuillez entrer les données relatives à votre ville/commune dans les cases ci-dessous.</t>
  </si>
  <si>
    <t>DONNÉES GÉNÉRALES</t>
  </si>
  <si>
    <t>Données générales de la commune</t>
  </si>
  <si>
    <t>Travailleurs pendulaires résidents en Suisse (autres cantons et autres communes vaudoises)</t>
  </si>
  <si>
    <t>Données Administration</t>
  </si>
  <si>
    <t>Résultats Administration</t>
  </si>
  <si>
    <t>Émissions directes</t>
  </si>
  <si>
    <t>Émissions indirectes</t>
  </si>
  <si>
    <t>Émissions totales</t>
  </si>
  <si>
    <t>Catégorie</t>
  </si>
  <si>
    <t>Pourcentage</t>
  </si>
  <si>
    <t>Électricité</t>
  </si>
  <si>
    <t>Mobilité</t>
  </si>
  <si>
    <t>Traitement des eaux usées</t>
  </si>
  <si>
    <t>Pratiques agricoles et fertilisants</t>
  </si>
  <si>
    <t>Bétail et fermentation entérique</t>
  </si>
  <si>
    <t>Consommation</t>
  </si>
  <si>
    <t>Alimentation et boissons</t>
  </si>
  <si>
    <t>Numérique (ICT)</t>
  </si>
  <si>
    <t>Construction</t>
  </si>
  <si>
    <t>Total</t>
  </si>
  <si>
    <t>Pendulaires frontaliers</t>
  </si>
  <si>
    <t>ECS</t>
  </si>
  <si>
    <t>Chauffage</t>
  </si>
  <si>
    <t>Résultats Territoire</t>
  </si>
  <si>
    <t>Habits et chaussures</t>
  </si>
  <si>
    <t>Santé</t>
  </si>
  <si>
    <t>Loisirs et culture</t>
  </si>
  <si>
    <t>Biens et services divers</t>
  </si>
  <si>
    <t>Restaurants et hôtels</t>
  </si>
  <si>
    <t>Numérique</t>
  </si>
  <si>
    <t>Construction et infrastructure</t>
  </si>
  <si>
    <t>Agriculture et affectation du sol et du territoire</t>
  </si>
  <si>
    <t>Quantité</t>
  </si>
  <si>
    <t>Unité</t>
  </si>
  <si>
    <t>Name_id</t>
  </si>
  <si>
    <t>Facteur d'émission</t>
  </si>
  <si>
    <t>Niveau des données</t>
  </si>
  <si>
    <t>Source des données</t>
  </si>
  <si>
    <t>Traitement des déchets et des eaux usées</t>
  </si>
  <si>
    <t>Communal</t>
  </si>
  <si>
    <t>Typologie cantonale</t>
  </si>
  <si>
    <t>TIM - transport individuel motorisé</t>
  </si>
  <si>
    <t>kilomètres annuels</t>
  </si>
  <si>
    <t>Transport, TIM</t>
  </si>
  <si>
    <t>TIM - motocycles</t>
  </si>
  <si>
    <t>Train</t>
  </si>
  <si>
    <t>TP - autres transports publics</t>
  </si>
  <si>
    <t>Mobilité douce</t>
  </si>
  <si>
    <t xml:space="preserve"> kilomètres annuels</t>
  </si>
  <si>
    <t>Gaz naturel</t>
  </si>
  <si>
    <t>Bois</t>
  </si>
  <si>
    <t>Chauffage à distance</t>
  </si>
  <si>
    <t>Solaire thermique</t>
  </si>
  <si>
    <t>PAC</t>
  </si>
  <si>
    <t>Mazout</t>
  </si>
  <si>
    <t>MWh</t>
  </si>
  <si>
    <t>Éclairage public</t>
  </si>
  <si>
    <t>Cheptel</t>
  </si>
  <si>
    <t>Chevaux</t>
  </si>
  <si>
    <t>têtes</t>
  </si>
  <si>
    <t>Vaches</t>
  </si>
  <si>
    <t>Porcs</t>
  </si>
  <si>
    <t>Moutons</t>
  </si>
  <si>
    <t>Chèvres</t>
  </si>
  <si>
    <t>Surface agricole et viticole</t>
  </si>
  <si>
    <t>ha</t>
  </si>
  <si>
    <t>Émissions de GES des surfaces foretières suisses</t>
  </si>
  <si>
    <t>Surface forestière</t>
  </si>
  <si>
    <t>Émissions de GES des surfaces agricoles suisses</t>
  </si>
  <si>
    <t>Pratiques agricoles (engrais, fertilisants, ...)</t>
  </si>
  <si>
    <t>Pratiques agricoles</t>
  </si>
  <si>
    <t>hectares</t>
  </si>
  <si>
    <t>Consommation de biens et de services</t>
  </si>
  <si>
    <t>Fédéral</t>
  </si>
  <si>
    <t>Alimentation et boisson</t>
  </si>
  <si>
    <t>Données Internet, impact moyen</t>
  </si>
  <si>
    <r>
      <t>m</t>
    </r>
    <r>
      <rPr>
        <vertAlign val="superscript"/>
        <sz val="12"/>
        <color theme="1"/>
        <rFont val="Calibri (Corps)"/>
      </rPr>
      <t>3</t>
    </r>
    <r>
      <rPr>
        <sz val="12"/>
        <color theme="1"/>
        <rFont val="Calibri"/>
        <family val="2"/>
        <scheme val="minor"/>
      </rPr>
      <t xml:space="preserve"> d'eau traitée</t>
    </r>
  </si>
  <si>
    <t>Traitement des déchets</t>
  </si>
  <si>
    <t>Pendulaires résidents en Suisse</t>
  </si>
  <si>
    <t>Patrimoine administratif</t>
  </si>
  <si>
    <t>Entrez la source des données / le service concerné</t>
  </si>
  <si>
    <t>Electricité</t>
  </si>
  <si>
    <t>Mobilité des employés communaux</t>
  </si>
  <si>
    <t>OU</t>
  </si>
  <si>
    <t>TiM - motocycles</t>
  </si>
  <si>
    <t>Avion</t>
  </si>
  <si>
    <t>Classe affaire</t>
  </si>
  <si>
    <t>Classe économique</t>
  </si>
  <si>
    <t>Voitures de l'administration</t>
  </si>
  <si>
    <t>Diesel</t>
  </si>
  <si>
    <t>litres</t>
  </si>
  <si>
    <t>Diesel, litres</t>
  </si>
  <si>
    <t>Essence</t>
  </si>
  <si>
    <t>Essence, litres</t>
  </si>
  <si>
    <t>kg</t>
  </si>
  <si>
    <t>ET/OU</t>
  </si>
  <si>
    <t>Véhicules utilitaires (voirie, …)</t>
  </si>
  <si>
    <t>Déplacements professionnels - autres</t>
  </si>
  <si>
    <t>Transports publics</t>
  </si>
  <si>
    <t>Voitures de location</t>
  </si>
  <si>
    <t>Achats de l'administration</t>
  </si>
  <si>
    <t>Alimentation</t>
  </si>
  <si>
    <t>Plat complet, avec viande</t>
  </si>
  <si>
    <t>Cantines scolaires</t>
  </si>
  <si>
    <t>Nombre de repas servis annuellement</t>
  </si>
  <si>
    <t>Cantines de l'administration</t>
  </si>
  <si>
    <t>Repas végétariens</t>
  </si>
  <si>
    <t>pourcentage de repas végétarien servis</t>
  </si>
  <si>
    <t>Plat complet, végétarien</t>
  </si>
  <si>
    <t>Matériel informatique</t>
  </si>
  <si>
    <t>Ordinateurs</t>
  </si>
  <si>
    <t>Ordinateur</t>
  </si>
  <si>
    <t>Écrans</t>
  </si>
  <si>
    <t>Écran</t>
  </si>
  <si>
    <t>Laptops</t>
  </si>
  <si>
    <t>Laptop</t>
  </si>
  <si>
    <t>Serveurs</t>
  </si>
  <si>
    <t>Serveur</t>
  </si>
  <si>
    <t>Imprimantes</t>
  </si>
  <si>
    <t>Imprimante</t>
  </si>
  <si>
    <t>Achats de véhicules</t>
  </si>
  <si>
    <t>Voitures</t>
  </si>
  <si>
    <t>Voiture</t>
  </si>
  <si>
    <t>Camionnettes</t>
  </si>
  <si>
    <t>Gros utilitaires (service voirie, …)</t>
  </si>
  <si>
    <t>Matériel de bureau et consommables</t>
  </si>
  <si>
    <t>Autres dépenses</t>
  </si>
  <si>
    <t>Services immatériels</t>
  </si>
  <si>
    <t>Constructions et infrastructures publiques</t>
  </si>
  <si>
    <t>Routes</t>
  </si>
  <si>
    <t>Autres travaux de génie civil</t>
  </si>
  <si>
    <t>Focus sur l'énergie</t>
  </si>
  <si>
    <t>Énergie d'exploitation des bâtiments du patrimoine communal</t>
  </si>
  <si>
    <t>Téléphones</t>
  </si>
  <si>
    <t>Vélos électriques</t>
  </si>
  <si>
    <t>Microrecensement de la mobilité 2015</t>
  </si>
  <si>
    <t>Echandens</t>
  </si>
  <si>
    <t>Source</t>
  </si>
  <si>
    <t>GES
 [kg CO2eq]</t>
  </si>
  <si>
    <t>Carburants et combustibles</t>
  </si>
  <si>
    <t>Kérosène</t>
  </si>
  <si>
    <t>Déchets et traitement des eaux</t>
  </si>
  <si>
    <t>NIR 2020</t>
  </si>
  <si>
    <t>tonnes</t>
  </si>
  <si>
    <t>Transports et mobilité</t>
  </si>
  <si>
    <t>pkm</t>
  </si>
  <si>
    <t>DEFRA</t>
  </si>
  <si>
    <t>p</t>
  </si>
  <si>
    <t>Snack, végétarien</t>
  </si>
  <si>
    <t>Snack, avec viande</t>
  </si>
  <si>
    <t>ICT</t>
  </si>
  <si>
    <t>Go</t>
  </si>
  <si>
    <t>Biens et services</t>
  </si>
  <si>
    <t>Émissions GES Suisse
(t CO2eq)</t>
  </si>
  <si>
    <t>Émissions par hab
(t CO2eq/hab)</t>
  </si>
  <si>
    <t>Émissions par hab
(kg CO2eq/hab)</t>
  </si>
  <si>
    <t>Constante</t>
  </si>
  <si>
    <t>Valeur</t>
  </si>
  <si>
    <t>Habitants Suisse</t>
  </si>
  <si>
    <t>OFS 2019</t>
  </si>
  <si>
    <t>Consommation données moyenne suisse</t>
  </si>
  <si>
    <t>Go/jour</t>
  </si>
  <si>
    <t>Quantis</t>
  </si>
  <si>
    <t>PIB Suisse</t>
  </si>
  <si>
    <t>MCHF</t>
  </si>
  <si>
    <t>Ratio PIB</t>
  </si>
  <si>
    <t>Fortune moyenne investie</t>
  </si>
  <si>
    <t>Mio CHF/an/actif</t>
  </si>
  <si>
    <t>Distance moyenne par mode (km)</t>
  </si>
  <si>
    <t>Part modale Pendulaire FR</t>
  </si>
  <si>
    <t>Pendulaires CH</t>
  </si>
  <si>
    <t>TIM conducteur</t>
  </si>
  <si>
    <t>TIM motocycles</t>
  </si>
  <si>
    <t>TP</t>
  </si>
  <si>
    <t>Distance annuelle en avion</t>
  </si>
  <si>
    <t>Motif</t>
  </si>
  <si>
    <t>Travail</t>
  </si>
  <si>
    <t>Achats, loisirs et autres motifs</t>
  </si>
  <si>
    <t>Pendulaire moyen</t>
  </si>
  <si>
    <t>Distance (km)</t>
  </si>
  <si>
    <t>Répartition des TIM (OFS)</t>
  </si>
  <si>
    <t>Taux d'occupation FR</t>
  </si>
  <si>
    <t>immatriculations Suisse</t>
  </si>
  <si>
    <t>Hybride</t>
  </si>
  <si>
    <t>Électrique</t>
  </si>
  <si>
    <t>TIM</t>
  </si>
  <si>
    <t>vkm</t>
  </si>
  <si>
    <t>Nom Commune</t>
  </si>
  <si>
    <t>LUC</t>
  </si>
  <si>
    <t>Population microrecensement</t>
  </si>
  <si>
    <t>Frontaliers</t>
  </si>
  <si>
    <t>Au 31.12.2019</t>
  </si>
  <si>
    <t>Surface agricole</t>
  </si>
  <si>
    <t>Aires boisées</t>
  </si>
  <si>
    <t>UGB</t>
  </si>
  <si>
    <t>Au 31.12.2018</t>
  </si>
  <si>
    <t>Habitants</t>
  </si>
  <si>
    <t>tête</t>
  </si>
  <si>
    <t>Emplois</t>
  </si>
  <si>
    <t>Nom</t>
  </si>
  <si>
    <t>Unit</t>
  </si>
  <si>
    <t>Total
 [kg CO2eq]</t>
  </si>
  <si>
    <t>Directes
 [kg CO2eq]</t>
  </si>
  <si>
    <t>Indirectes
 [kg CO2eq]</t>
  </si>
  <si>
    <t>OFEV 2020</t>
  </si>
  <si>
    <t>Bio-diesel, litres</t>
  </si>
  <si>
    <t>Litres</t>
  </si>
  <si>
    <t>Agriculture et affectation du territoire</t>
  </si>
  <si>
    <t>m3</t>
  </si>
  <si>
    <t>Vélo électrique</t>
  </si>
  <si>
    <t>Ernstoff et al. 2020</t>
  </si>
  <si>
    <t>Construction, logement, béton</t>
  </si>
  <si>
    <r>
      <t>m</t>
    </r>
    <r>
      <rPr>
        <b/>
        <vertAlign val="superscript"/>
        <sz val="9"/>
        <color rgb="FF514541"/>
        <rFont val="Calibri (Corps)"/>
      </rPr>
      <t>2</t>
    </r>
    <r>
      <rPr>
        <b/>
        <sz val="9"/>
        <color rgb="FF514541"/>
        <rFont val="Calibri"/>
        <family val="2"/>
        <scheme val="minor"/>
      </rPr>
      <t xml:space="preserve"> SRE</t>
    </r>
  </si>
  <si>
    <t>Construction, logement, bois</t>
  </si>
  <si>
    <t>CH I/O</t>
  </si>
  <si>
    <t>Administration</t>
  </si>
  <si>
    <t>Smartphone</t>
  </si>
  <si>
    <t>OFEV 2019</t>
  </si>
  <si>
    <t>hab</t>
  </si>
  <si>
    <t>Input/Output</t>
  </si>
  <si>
    <t>Véhicules</t>
  </si>
  <si>
    <t>NOM_COMMUNE</t>
  </si>
  <si>
    <t>Clarmont</t>
  </si>
  <si>
    <t>Gaz</t>
  </si>
  <si>
    <t>Solaire</t>
  </si>
  <si>
    <t>Coppet</t>
  </si>
  <si>
    <t>CAD</t>
  </si>
  <si>
    <t>Ferreyres</t>
  </si>
  <si>
    <t>Le Vaud</t>
  </si>
  <si>
    <t>Autre agent énergétique</t>
  </si>
  <si>
    <t>CONSO_KWH</t>
  </si>
  <si>
    <t>AGENT_ENERG</t>
  </si>
  <si>
    <t>NAME_ID</t>
  </si>
  <si>
    <t>CHAUFF</t>
  </si>
  <si>
    <t>TYPE</t>
  </si>
  <si>
    <t>ELEC</t>
  </si>
  <si>
    <t>Données territoire:</t>
  </si>
  <si>
    <t>Eau chaude sanitaire</t>
  </si>
  <si>
    <t>Pompe à chaleur</t>
  </si>
  <si>
    <t>Habitants Vaud</t>
  </si>
  <si>
    <t>PIB Vaud</t>
  </si>
  <si>
    <t>StatVaud 2019</t>
  </si>
  <si>
    <t>Consommation eaux usées</t>
  </si>
  <si>
    <t>litres/jour/hab</t>
  </si>
  <si>
    <t>Déchets incinérables</t>
  </si>
  <si>
    <t>Papier, carton</t>
  </si>
  <si>
    <t>Verre</t>
  </si>
  <si>
    <t>PET</t>
  </si>
  <si>
    <t>Typologie MRMT</t>
  </si>
  <si>
    <t>Ferraille</t>
  </si>
  <si>
    <t>Émissions totales
(kg CO2eq)</t>
  </si>
  <si>
    <t>Émissions directes
(kg CO2eq)</t>
  </si>
  <si>
    <t>Émissions indirectes
(kg CO2eq)</t>
  </si>
  <si>
    <t>Énergie</t>
  </si>
  <si>
    <t>Agent énergétique</t>
  </si>
  <si>
    <t>(MWh)</t>
  </si>
  <si>
    <t>(%)</t>
  </si>
  <si>
    <t>Pompe à chaleur - MWh</t>
  </si>
  <si>
    <t>Chauffage à distance - MWh</t>
  </si>
  <si>
    <t>Solaire thermique - MWh</t>
  </si>
  <si>
    <t>Gaz naturel - MWh</t>
  </si>
  <si>
    <t>Mazout - MWh</t>
  </si>
  <si>
    <t>KWh</t>
  </si>
  <si>
    <t>Pompe à chaleur - kWh</t>
  </si>
  <si>
    <t>Chauffage à distance - kWh</t>
  </si>
  <si>
    <t>Solaire thermique - kWh</t>
  </si>
  <si>
    <t>Gaz naturel - kWh</t>
  </si>
  <si>
    <t>Mazout - kWh</t>
  </si>
  <si>
    <t>MJ</t>
  </si>
  <si>
    <t>Pompe à chaleur - MJ</t>
  </si>
  <si>
    <t>Chauffage à distance - MJ</t>
  </si>
  <si>
    <t>Solaire thermique - MJ</t>
  </si>
  <si>
    <t>Gaz naturel - MJ</t>
  </si>
  <si>
    <t>Mazout - MJ</t>
  </si>
  <si>
    <t>Gaz naturel - m3</t>
  </si>
  <si>
    <t>Gaz naturel - kg</t>
  </si>
  <si>
    <t>Densité</t>
  </si>
  <si>
    <t>Choississez l'unité</t>
  </si>
  <si>
    <r>
      <rPr>
        <sz val="12"/>
        <color theme="1"/>
        <rFont val="Calibri (Corps)"/>
      </rPr>
      <t>m</t>
    </r>
    <r>
      <rPr>
        <vertAlign val="superscript"/>
        <sz val="12"/>
        <color theme="1"/>
        <rFont val="Calibri (Corps)"/>
      </rPr>
      <t>3</t>
    </r>
  </si>
  <si>
    <t>Choississez les certificats</t>
  </si>
  <si>
    <t>Non-certifiée</t>
  </si>
  <si>
    <t>Vitale Bleu</t>
  </si>
  <si>
    <t>Vitale Vert</t>
  </si>
  <si>
    <t>Électricité - MWh</t>
  </si>
  <si>
    <t>Électricité - kWh</t>
  </si>
  <si>
    <t>kWh</t>
  </si>
  <si>
    <t>Diesel, kilomètre</t>
  </si>
  <si>
    <t>Électrique, kilomètre</t>
  </si>
  <si>
    <t>Essence, kilomètre</t>
  </si>
  <si>
    <t>Gaz naturel, kilomètre</t>
  </si>
  <si>
    <t>Hybride, kilomètre</t>
  </si>
  <si>
    <t>Vélo</t>
  </si>
  <si>
    <t>Marche à pied</t>
  </si>
  <si>
    <t>Avion, economy</t>
  </si>
  <si>
    <t>Avion, business</t>
  </si>
  <si>
    <t>Camionnette</t>
  </si>
  <si>
    <t>tkm</t>
  </si>
  <si>
    <t>Minibus</t>
  </si>
  <si>
    <t>Camion 16-32t</t>
  </si>
  <si>
    <t>Vélo électrique, achat</t>
  </si>
  <si>
    <t>Voiture, achat</t>
  </si>
  <si>
    <t>Camionette, achat</t>
  </si>
  <si>
    <t>Gros utilitaires, achat</t>
  </si>
  <si>
    <t>Autres déplacements professionnels</t>
  </si>
  <si>
    <t>Motocycles</t>
  </si>
  <si>
    <t>Microrecensement de la mobilité, 2015</t>
  </si>
  <si>
    <t>DGMR</t>
  </si>
  <si>
    <t>Avion, moyenne</t>
  </si>
  <si>
    <t>Lausanne</t>
  </si>
  <si>
    <t>Pendulaires VD</t>
  </si>
  <si>
    <t>Taux d'occupation VD</t>
  </si>
  <si>
    <t>Mode de transport</t>
  </si>
  <si>
    <t>Kilomètres annuels</t>
  </si>
  <si>
    <t>Employés communaux</t>
  </si>
  <si>
    <t>Bilan carbone de la ville/commune et de ses habitant.e.s :</t>
  </si>
  <si>
    <t>Mobilité des habitant.e.s de la commune</t>
  </si>
  <si>
    <t>habitant.e.s (OFS 2019)</t>
  </si>
  <si>
    <t>Bois (bûches, copeaux, pellets)</t>
  </si>
  <si>
    <t>Bois (bûches, copeaux, pellets) - MWh</t>
  </si>
  <si>
    <t>Bois (bûches, copeaux, pellets) - kWh</t>
  </si>
  <si>
    <t>Bois (bûches, copeaux, pellets) - MJ</t>
  </si>
  <si>
    <t>Autres agents énergétiques (non renseignés)</t>
  </si>
  <si>
    <t>Autres agents énergétiques (non renseignés) - MWh</t>
  </si>
  <si>
    <t>Numéro OFS</t>
  </si>
  <si>
    <t>Transport aérien des habitant.e.s de la commune</t>
  </si>
  <si>
    <t>Volume d'eau traité annuellement</t>
  </si>
  <si>
    <t>Kilos</t>
  </si>
  <si>
    <t>Verre - tonnes</t>
  </si>
  <si>
    <t>Ferraille - tonnes</t>
  </si>
  <si>
    <t>Papier, carton - tonnes</t>
  </si>
  <si>
    <t>PET - tonnes</t>
  </si>
  <si>
    <t>Verre - kilogrammes</t>
  </si>
  <si>
    <t>Ferraille - kilogrammes</t>
  </si>
  <si>
    <t>Papier, carton - kilogrammes</t>
  </si>
  <si>
    <t>PET - kilogrammes</t>
  </si>
  <si>
    <t>Choissisez l'unité</t>
  </si>
  <si>
    <t>kilogrammes</t>
  </si>
  <si>
    <t>Déchets incinérables - kilogrammes</t>
  </si>
  <si>
    <t>Déchets incinérables - tonnes</t>
  </si>
  <si>
    <t>Capture ou émissions de GES des sols agricoles</t>
  </si>
  <si>
    <t>Capture ou émissions de GES des surfaces forestières</t>
  </si>
  <si>
    <t>Surface agricole, viticole et forestière sur le terrritoire communal</t>
  </si>
  <si>
    <t>Gigaoctets</t>
  </si>
  <si>
    <t>tonnes de gaz à effet de serre / personne</t>
  </si>
  <si>
    <t>Émissions</t>
  </si>
  <si>
    <t>Gaz à effet de serre
(tonnes de CO2eq)</t>
  </si>
  <si>
    <r>
      <t>(tonnes de CO</t>
    </r>
    <r>
      <rPr>
        <b/>
        <vertAlign val="subscript"/>
        <sz val="12"/>
        <color theme="1"/>
        <rFont val="Calibri (Corps)"/>
      </rPr>
      <t>2</t>
    </r>
    <r>
      <rPr>
        <b/>
        <sz val="12"/>
        <color theme="1"/>
        <rFont val="Calibri"/>
        <family val="2"/>
        <scheme val="minor"/>
      </rPr>
      <t>eq)</t>
    </r>
  </si>
  <si>
    <t>Mobilité - Route et rail</t>
  </si>
  <si>
    <t>Production photovoltaïque</t>
  </si>
  <si>
    <t>Véhicules privés</t>
  </si>
  <si>
    <t>Véhicules utilitaires et matériel d'entretien de la voirie</t>
  </si>
  <si>
    <t>CHF</t>
  </si>
  <si>
    <t>Logements</t>
  </si>
  <si>
    <t>Fiche d'action du PECC</t>
  </si>
  <si>
    <t>Déchets électriques et électroniques OREA</t>
  </si>
  <si>
    <t>Déchets spéciaux</t>
  </si>
  <si>
    <t>Aluminium</t>
  </si>
  <si>
    <t>Quantis LCI Library / EcoInvent 3.7</t>
  </si>
  <si>
    <t>Consommation d'énergie finale</t>
  </si>
  <si>
    <t>Bois traité</t>
  </si>
  <si>
    <t>Biodéchets, biogaz</t>
  </si>
  <si>
    <t>Biodéchets, compostage</t>
  </si>
  <si>
    <t>Flaconnage</t>
  </si>
  <si>
    <t>Déchets inertes</t>
  </si>
  <si>
    <t>Focus sur les déchets</t>
  </si>
  <si>
    <t>Bâtiments</t>
  </si>
  <si>
    <t>Investissements annuels dans la construction publique (entretient et amortissement annuels)</t>
  </si>
  <si>
    <t>Aclens</t>
  </si>
  <si>
    <t>Agiez</t>
  </si>
  <si>
    <t>Aigle</t>
  </si>
  <si>
    <t>Allaman</t>
  </si>
  <si>
    <t>Apples</t>
  </si>
  <si>
    <t>Arzier-Le Muids</t>
  </si>
  <si>
    <t>Assens</t>
  </si>
  <si>
    <t>Aubonne</t>
  </si>
  <si>
    <t>Avenches</t>
  </si>
  <si>
    <t>Ballaigues</t>
  </si>
  <si>
    <t>Ballens</t>
  </si>
  <si>
    <t>Bassins</t>
  </si>
  <si>
    <t>Baulmes</t>
  </si>
  <si>
    <t>Bavois</t>
  </si>
  <si>
    <t>Begnins</t>
  </si>
  <si>
    <t>Bercher</t>
  </si>
  <si>
    <t>Berolle</t>
  </si>
  <si>
    <t>Bettens</t>
  </si>
  <si>
    <t>Bex</t>
  </si>
  <si>
    <t>Bioley-Magnoux</t>
  </si>
  <si>
    <t>Bioley-Orjulaz</t>
  </si>
  <si>
    <t>Blonay</t>
  </si>
  <si>
    <t>Bofflens</t>
  </si>
  <si>
    <t>Bogis-Bossey</t>
  </si>
  <si>
    <t>Bonvillars</t>
  </si>
  <si>
    <t>Borex</t>
  </si>
  <si>
    <t>Bottens</t>
  </si>
  <si>
    <t>Bougy-Villars</t>
  </si>
  <si>
    <t>Boulens</t>
  </si>
  <si>
    <t>Bournens</t>
  </si>
  <si>
    <t>Boussens</t>
  </si>
  <si>
    <t>Bremblens</t>
  </si>
  <si>
    <t>Buchillon</t>
  </si>
  <si>
    <t>Bullet</t>
  </si>
  <si>
    <t>Bursinel</t>
  </si>
  <si>
    <t>Bursins</t>
  </si>
  <si>
    <t>Burtigny</t>
  </si>
  <si>
    <t>Bussigny</t>
  </si>
  <si>
    <t>Bussy-Chardonney</t>
  </si>
  <si>
    <t>Chamblon</t>
  </si>
  <si>
    <t>Champagne</t>
  </si>
  <si>
    <t>Champtauroz</t>
  </si>
  <si>
    <t>Champvent</t>
  </si>
  <si>
    <t>Chardonne</t>
  </si>
  <si>
    <t>Chavornay</t>
  </si>
  <si>
    <t>Chessel</t>
  </si>
  <si>
    <t>Chevilly</t>
  </si>
  <si>
    <t>Chevroux</t>
  </si>
  <si>
    <t>Chexbres</t>
  </si>
  <si>
    <t>Chigny</t>
  </si>
  <si>
    <t>Coinsins</t>
  </si>
  <si>
    <t>Commugny</t>
  </si>
  <si>
    <t>Concise</t>
  </si>
  <si>
    <t>Corbeyrier</t>
  </si>
  <si>
    <t>Corseaux</t>
  </si>
  <si>
    <t>Cossonay</t>
  </si>
  <si>
    <t>Crassier</t>
  </si>
  <si>
    <t>Crissier</t>
  </si>
  <si>
    <t>Cronay</t>
  </si>
  <si>
    <t>Croy</t>
  </si>
  <si>
    <t>Cuarnens</t>
  </si>
  <si>
    <t>Cuarny</t>
  </si>
  <si>
    <t>Cudrefin</t>
  </si>
  <si>
    <t>Curtilles</t>
  </si>
  <si>
    <t>Daillens</t>
  </si>
  <si>
    <t>Denens</t>
  </si>
  <si>
    <t>Denges</t>
  </si>
  <si>
    <t>Dizy</t>
  </si>
  <si>
    <t>Donneloye</t>
  </si>
  <si>
    <t>Duillier</t>
  </si>
  <si>
    <t>Dully</t>
  </si>
  <si>
    <t>Echallens</t>
  </si>
  <si>
    <t>Echichens</t>
  </si>
  <si>
    <t>Epalinges</t>
  </si>
  <si>
    <t>Essertes</t>
  </si>
  <si>
    <t>Etoy</t>
  </si>
  <si>
    <t>Eysins</t>
  </si>
  <si>
    <t>Faoug</t>
  </si>
  <si>
    <t>Fey</t>
  </si>
  <si>
    <t>Fiez</t>
  </si>
  <si>
    <t>Forel (Lavaux)</t>
  </si>
  <si>
    <t>Founex</t>
  </si>
  <si>
    <t>Froideville</t>
  </si>
  <si>
    <t>Genolier</t>
  </si>
  <si>
    <t>Giez</t>
  </si>
  <si>
    <t>Gilly</t>
  </si>
  <si>
    <t>Gimel</t>
  </si>
  <si>
    <t>Gingins</t>
  </si>
  <si>
    <t>Givrins</t>
  </si>
  <si>
    <t>Gland</t>
  </si>
  <si>
    <t>Gollion</t>
  </si>
  <si>
    <t>Grancy</t>
  </si>
  <si>
    <t>Grandcour</t>
  </si>
  <si>
    <t>Grandevent</t>
  </si>
  <si>
    <t>Grandson</t>
  </si>
  <si>
    <t>Grens</t>
  </si>
  <si>
    <t>Gryon</t>
  </si>
  <si>
    <t>Henniez</t>
  </si>
  <si>
    <t>Hermenches</t>
  </si>
  <si>
    <t>Jongny</t>
  </si>
  <si>
    <t>Jorat-Menthue</t>
  </si>
  <si>
    <t>Juriens</t>
  </si>
  <si>
    <t>La Chaux (Cossonay)</t>
  </si>
  <si>
    <t>La Praz</t>
  </si>
  <si>
    <t>La Rippe</t>
  </si>
  <si>
    <t>La Sarraz</t>
  </si>
  <si>
    <t>Lavey-Morcles</t>
  </si>
  <si>
    <t>Lavigny</t>
  </si>
  <si>
    <t>Le Chenit</t>
  </si>
  <si>
    <t>Le Lieu</t>
  </si>
  <si>
    <t>Leysin</t>
  </si>
  <si>
    <t>Lignerolle</t>
  </si>
  <si>
    <t>Lonay</t>
  </si>
  <si>
    <t>Longirod</t>
  </si>
  <si>
    <t>Lovatens</t>
  </si>
  <si>
    <t>Lucens</t>
  </si>
  <si>
    <t>Luins</t>
  </si>
  <si>
    <t>Lussery-Villars</t>
  </si>
  <si>
    <t>Lutry</t>
  </si>
  <si>
    <t>Maracon</t>
  </si>
  <si>
    <t>Marchissy</t>
  </si>
  <si>
    <t>Mathod</t>
  </si>
  <si>
    <t>Mauborget</t>
  </si>
  <si>
    <t>Mauraz</t>
  </si>
  <si>
    <t>Mies</t>
  </si>
  <si>
    <t>Missy</t>
  </si>
  <si>
    <t>Moiry</t>
  </si>
  <si>
    <t>Molondin</t>
  </si>
  <si>
    <t>Montanaire</t>
  </si>
  <si>
    <t>Montcherand</t>
  </si>
  <si>
    <t>Montilliez</t>
  </si>
  <si>
    <t>Montpreveyres</t>
  </si>
  <si>
    <t>Montreux</t>
  </si>
  <si>
    <t>Montricher</t>
  </si>
  <si>
    <t>Morges</t>
  </si>
  <si>
    <t>Moudon</t>
  </si>
  <si>
    <t>Mutrux</t>
  </si>
  <si>
    <t>Novalles</t>
  </si>
  <si>
    <t>Noville</t>
  </si>
  <si>
    <t>Nyon</t>
  </si>
  <si>
    <t>Ogens</t>
  </si>
  <si>
    <t>Ollon</t>
  </si>
  <si>
    <t>Oppens</t>
  </si>
  <si>
    <t>Orbe</t>
  </si>
  <si>
    <t>Orges</t>
  </si>
  <si>
    <t>Ormont-Dessous</t>
  </si>
  <si>
    <t>Ormont-Dessus</t>
  </si>
  <si>
    <t>Orny</t>
  </si>
  <si>
    <t>Oron</t>
  </si>
  <si>
    <t>Orzens</t>
  </si>
  <si>
    <t>Pailly</t>
  </si>
  <si>
    <t>Pampigny</t>
  </si>
  <si>
    <t>Paudex</t>
  </si>
  <si>
    <t>Payerne</t>
  </si>
  <si>
    <t>Penthalaz</t>
  </si>
  <si>
    <t>Penthaz</t>
  </si>
  <si>
    <t>Perroy</t>
  </si>
  <si>
    <t>Poliez-Pittet</t>
  </si>
  <si>
    <t>Pompaples</t>
  </si>
  <si>
    <t>Pomy</t>
  </si>
  <si>
    <t>Prangins</t>
  </si>
  <si>
    <t>Premier</t>
  </si>
  <si>
    <t>Prilly</t>
  </si>
  <si>
    <t>Provence</t>
  </si>
  <si>
    <t>Puidoux</t>
  </si>
  <si>
    <t>Pully</t>
  </si>
  <si>
    <t>Rances</t>
  </si>
  <si>
    <t>Rennaz</t>
  </si>
  <si>
    <t>Reverolle</t>
  </si>
  <si>
    <t>Rivaz</t>
  </si>
  <si>
    <t>Rolle</t>
  </si>
  <si>
    <t>Ropraz</t>
  </si>
  <si>
    <t>Rossenges</t>
  </si>
  <si>
    <t>Rougemont</t>
  </si>
  <si>
    <t>Rovray</t>
  </si>
  <si>
    <t>Rueyres</t>
  </si>
  <si>
    <t>Saint-Cergue</t>
  </si>
  <si>
    <t>Saint-George</t>
  </si>
  <si>
    <t>Saint-Livres</t>
  </si>
  <si>
    <t>Saint-Oyens</t>
  </si>
  <si>
    <t>Saint-Prex</t>
  </si>
  <si>
    <t>Saint-Saphorin (Lavaux)</t>
  </si>
  <si>
    <t>Sainte-Croix</t>
  </si>
  <si>
    <t>Saubraz</t>
  </si>
  <si>
    <t>Savigny</t>
  </si>
  <si>
    <t>Senarclens</t>
  </si>
  <si>
    <t>Sergey</t>
  </si>
  <si>
    <t>Servion</t>
  </si>
  <si>
    <t>Signy-Avenex</t>
  </si>
  <si>
    <t>Suchy</t>
  </si>
  <si>
    <t>Sullens</t>
  </si>
  <si>
    <t>Syens</t>
  </si>
  <si>
    <t>Tannay</t>
  </si>
  <si>
    <t>Tartegnin</t>
  </si>
  <si>
    <t>Tolochenaz</t>
  </si>
  <si>
    <t>Trey</t>
  </si>
  <si>
    <t>Treycovagnes</t>
  </si>
  <si>
    <t>Treytorrens (Payerne)</t>
  </si>
  <si>
    <t>Ursins</t>
  </si>
  <si>
    <t>Valbroye</t>
  </si>
  <si>
    <t>Vallorbe</t>
  </si>
  <si>
    <t>Vaulion</t>
  </si>
  <si>
    <t>Vevey</t>
  </si>
  <si>
    <t>Veytaux</t>
  </si>
  <si>
    <t>Vich</t>
  </si>
  <si>
    <t>Villars-Epeney</t>
  </si>
  <si>
    <t>Villars-Sainte-Croix</t>
  </si>
  <si>
    <t>Villarzel</t>
  </si>
  <si>
    <t>Vinzel</t>
  </si>
  <si>
    <t>Vuarrens</t>
  </si>
  <si>
    <t>Vucherens</t>
  </si>
  <si>
    <t>Vugelles-La Mothe</t>
  </si>
  <si>
    <t>Vuiteboeuf</t>
  </si>
  <si>
    <t>Vulliens</t>
  </si>
  <si>
    <t>Vullierens</t>
  </si>
  <si>
    <t>Yens</t>
  </si>
  <si>
    <t>Yvonand</t>
  </si>
  <si>
    <t>Yvorne</t>
  </si>
  <si>
    <t>habitant.e.s</t>
  </si>
  <si>
    <t>Yverdon-les-Bains</t>
  </si>
  <si>
    <t>Vufflens-le-Château</t>
  </si>
  <si>
    <t>Vufflens-la-Ville</t>
  </si>
  <si>
    <t>Villeneuve (VD)</t>
  </si>
  <si>
    <t>Villars-sous-Yens</t>
  </si>
  <si>
    <t>Villars-le-Terroir</t>
  </si>
  <si>
    <t>Villars-le-Comte</t>
  </si>
  <si>
    <t>Vaux-sur-Morges</t>
  </si>
  <si>
    <t>Valeyres-sous-Ursins</t>
  </si>
  <si>
    <t>Valeyres-sous-Rances</t>
  </si>
  <si>
    <t>Valeyres-sous-Montagny</t>
  </si>
  <si>
    <t>Trélex</t>
  </si>
  <si>
    <t>Tévenon</t>
  </si>
  <si>
    <t>Suscévaz</t>
  </si>
  <si>
    <t>Sévery</t>
  </si>
  <si>
    <t>Saint-Légier-La Chiésaz</t>
  </si>
  <si>
    <t>Saint-Barthélemy (VD)</t>
  </si>
  <si>
    <t>Romanel-sur-Morges</t>
  </si>
  <si>
    <t>Romainmôtier-Envy</t>
  </si>
  <si>
    <t>Roche (VD)</t>
  </si>
  <si>
    <t>Prévonloup</t>
  </si>
  <si>
    <t>Préverenges</t>
  </si>
  <si>
    <t>Penthéréaz</t>
  </si>
  <si>
    <t>Oulens-sous-Echallens</t>
  </si>
  <si>
    <t>Onnens (VD)</t>
  </si>
  <si>
    <t>Morrens (VD)</t>
  </si>
  <si>
    <t>Mont-sur-Rolle</t>
  </si>
  <si>
    <t>Mont-la-Ville</t>
  </si>
  <si>
    <t>Montagny-près-Yverdon</t>
  </si>
  <si>
    <t>Mollens (VD)</t>
  </si>
  <si>
    <t>Mex (VD)</t>
  </si>
  <si>
    <t>Lussy-sur-Morges</t>
  </si>
  <si>
    <t>Lully (VD)</t>
  </si>
  <si>
    <t>L'Isle</t>
  </si>
  <si>
    <t>Les Clées</t>
  </si>
  <si>
    <t>L'Abergement</t>
  </si>
  <si>
    <t>La Tour-de-Peilz</t>
  </si>
  <si>
    <t>Jorat-Mézières</t>
  </si>
  <si>
    <t>Goumoëns</t>
  </si>
  <si>
    <t>Fontaines-sur-Grandson</t>
  </si>
  <si>
    <t>Etagnières</t>
  </si>
  <si>
    <t>Essertines-sur-Yverdon</t>
  </si>
  <si>
    <t>Essertines-sur-Rolle</t>
  </si>
  <si>
    <t>Ependes (VD)</t>
  </si>
  <si>
    <t>Eclépens</t>
  </si>
  <si>
    <t>Dompierre (VD)</t>
  </si>
  <si>
    <t>Démoret</t>
  </si>
  <si>
    <t>Cugy (VD)</t>
  </si>
  <si>
    <t>Cottens (VD)</t>
  </si>
  <si>
    <t>Corsier-sur-Vevey</t>
  </si>
  <si>
    <t>Corcelles-près-Concise</t>
  </si>
  <si>
    <t>Corcelles-le-Jorat</t>
  </si>
  <si>
    <t>Chéserex</t>
  </si>
  <si>
    <t>Cheseaux-sur-Lausanne</t>
  </si>
  <si>
    <t>Cheseaux-Noréaz</t>
  </si>
  <si>
    <t>Chêne-Pâquier</t>
  </si>
  <si>
    <t>Chavannes-sur-Moudon</t>
  </si>
  <si>
    <t>Chavannes-le-Veyron</t>
  </si>
  <si>
    <t>Chavannes-le-Chêne</t>
  </si>
  <si>
    <t>Chavannes-des-Bois</t>
  </si>
  <si>
    <t>Chavannes-de-Bogis</t>
  </si>
  <si>
    <t>Bussy-sur-Moudon</t>
  </si>
  <si>
    <t>Bretonnières</t>
  </si>
  <si>
    <t>Bretigny-sur-Morrens</t>
  </si>
  <si>
    <t>Bourg-en-Lavaux</t>
  </si>
  <si>
    <t>Bière</t>
  </si>
  <si>
    <t>Belmont-sur-Yverdon</t>
  </si>
  <si>
    <t>Belmont-sur-Lausanne</t>
  </si>
  <si>
    <t>Arnex-sur-Orbe</t>
  </si>
  <si>
    <t>Arnex-sur-Nyon</t>
  </si>
  <si>
    <t>N°</t>
  </si>
  <si>
    <t>6 - Périurbain</t>
  </si>
  <si>
    <t>2 - Centre principal</t>
  </si>
  <si>
    <t>5 - Centre secondaire</t>
  </si>
  <si>
    <t>4 - Suburbain dispersé</t>
  </si>
  <si>
    <t>7 - Montagne</t>
  </si>
  <si>
    <t>3 - Suburbain dense</t>
  </si>
  <si>
    <t>1 - Lausanne</t>
  </si>
  <si>
    <t>Territoire</t>
  </si>
  <si>
    <t>Château-d'Oex</t>
  </si>
  <si>
    <t>Chavannes-près-Renens</t>
  </si>
  <si>
    <t>Corcelles-près-Payerne</t>
  </si>
  <si>
    <t>Crans</t>
  </si>
  <si>
    <t>Ecublens (VD)</t>
  </si>
  <si>
    <t>Féchy</t>
  </si>
  <si>
    <t>Jouxtens-Mézery</t>
  </si>
  <si>
    <t>L'Abbaye</t>
  </si>
  <si>
    <t>Le Mont-sur-Lausanne</t>
  </si>
  <si>
    <t>Renens (VD)</t>
  </si>
  <si>
    <t>Romanel-sur-Lausanne</t>
  </si>
  <si>
    <t>Rossinière</t>
  </si>
  <si>
    <t>Saint-Sulpice (VD)</t>
  </si>
  <si>
    <t>Vully-les-Lacs</t>
  </si>
  <si>
    <t>Charbon</t>
  </si>
  <si>
    <t>Non renseigné</t>
  </si>
  <si>
    <t>No OFS</t>
  </si>
  <si>
    <t>Chauffage électrique direct</t>
  </si>
  <si>
    <t>Consommation totale (hors PAC et chauffages électriques)</t>
  </si>
  <si>
    <t>Population totale</t>
  </si>
  <si>
    <t>Habitant.e.s comptabilisés dans le microrecensement de la mobilité (&gt; 5 ans)</t>
  </si>
  <si>
    <t xml:space="preserve">habitant.e.s </t>
  </si>
  <si>
    <t>DIREV</t>
  </si>
  <si>
    <t>Biodéchets, compostage - kilogrammes</t>
  </si>
  <si>
    <t>Biodéchets, biogaz - kilogrammes</t>
  </si>
  <si>
    <t>Bois traité - kilogrammes</t>
  </si>
  <si>
    <t>Flaconnage - kilogrammes</t>
  </si>
  <si>
    <t>Déchets inertes - kilogrammes</t>
  </si>
  <si>
    <t>Déchets spéciaux - kilogrammes</t>
  </si>
  <si>
    <t>Déchets électriques et électroniques OREA - kilogrammes</t>
  </si>
  <si>
    <t>Aluminium - kilogrammes</t>
  </si>
  <si>
    <t>Bois traité - tonnes</t>
  </si>
  <si>
    <t>Aluminium - tonnes</t>
  </si>
  <si>
    <t>Biodéchets, compostage - tonnes</t>
  </si>
  <si>
    <t>Biodéchets, biogaz - tonnes</t>
  </si>
  <si>
    <t>Flaconnage - tonnes</t>
  </si>
  <si>
    <t>Déchets inertes - tonnes</t>
  </si>
  <si>
    <t>Déchets spéciaux - tonnes</t>
  </si>
  <si>
    <t>Déchets électriques et électroniques OREA - tonnes</t>
  </si>
  <si>
    <t>Tonnes</t>
  </si>
  <si>
    <t>Déchets OREA</t>
  </si>
  <si>
    <t>Transport aérien des habitant.e.s</t>
  </si>
  <si>
    <t>Autres</t>
  </si>
  <si>
    <t>MSCI ACWI, World Index</t>
  </si>
  <si>
    <t>equity investissement CH, world economy</t>
  </si>
  <si>
    <t>Mio CHF</t>
  </si>
  <si>
    <t>MSCI ACWI, Low Carbon Index</t>
  </si>
  <si>
    <t>equity investissement CH, durable</t>
  </si>
  <si>
    <t>Investissements moyen</t>
  </si>
  <si>
    <t>Estimation de la fortune totale investie</t>
  </si>
  <si>
    <t>millions de CHF</t>
  </si>
  <si>
    <t>Investissements financiers des habitants</t>
  </si>
  <si>
    <t>OFEV, 2018</t>
  </si>
  <si>
    <t>Mobilité des pendulaires externes (suisses et étrangers) travaillant sur la commune</t>
  </si>
  <si>
    <t>Consommation totale (inclus PAC et chauffages électriques)</t>
  </si>
  <si>
    <t>Surfaces forestières et agricoles (capture et émissions)</t>
  </si>
  <si>
    <t>Sous-catégorie</t>
  </si>
  <si>
    <t>Type de données</t>
  </si>
  <si>
    <t>Méthodologie</t>
  </si>
  <si>
    <t>Qualité de la méthode</t>
  </si>
  <si>
    <t>Données territoriales</t>
  </si>
  <si>
    <t>Données de consommations par agent énergétique</t>
  </si>
  <si>
    <t>+++</t>
  </si>
  <si>
    <t>Kilométrage journalier et part modale</t>
  </si>
  <si>
    <t>++</t>
  </si>
  <si>
    <t>Mobilité pendulaire</t>
  </si>
  <si>
    <t>+</t>
  </si>
  <si>
    <t>Tranport aérien</t>
  </si>
  <si>
    <t>Kilométrage annuel</t>
  </si>
  <si>
    <t>Construction et infrastructures</t>
  </si>
  <si>
    <t>Millions de francs investits dans la construction</t>
  </si>
  <si>
    <t>Cheptel
Pratiques agricoles (engrais, fertilisants, ...)</t>
  </si>
  <si>
    <t>Nombre de têtes de bétails, surface en hectares</t>
  </si>
  <si>
    <t>Les émissions territoriales de GES liées à l’agriculture comprennent celles liées aux pratiques agricoles (application de fertilisants, etc…) ainsi que les émissions liées au bétail (fermentation entérique, fumier et lisier). Les facteurs d'émissions par tête de bétail et par hectares sont issues de l'inventaire national suisse 2018 et adaptées à la commune.</t>
  </si>
  <si>
    <t>Surface agricole et viticole
Surface forestière</t>
  </si>
  <si>
    <t>Surface en hectares</t>
  </si>
  <si>
    <t>Volume d'eaux usées traitées</t>
  </si>
  <si>
    <t>Masse de déchets incinérés</t>
  </si>
  <si>
    <t>Consommation des ménages</t>
  </si>
  <si>
    <t>Habits et chaussures
Santé
Loisirs et culture
Biens et services divers
Restaurants et hôtels</t>
  </si>
  <si>
    <t>OFEV</t>
  </si>
  <si>
    <t>Données fédérales de consommation</t>
  </si>
  <si>
    <t>Les données fédérales sont issues d'une publication de l'OFEV (2020, Indicateurs de l’évolution des émissions de gaz à effet de serre en Suisse, 1990–2018). Ces données mesurent les impacts de la consommation suisse totale. Cette consommation est rapporté à la population de la commune. Cette catégorie comporte un risque de double comptage, car certains biens et services sont déjà comptabilisés dans d'autre catégories du bilan</t>
  </si>
  <si>
    <t>Ernstoff et al, 2020</t>
  </si>
  <si>
    <t>Concernant l’alimentation, les émissions de GES ont été estimées sur la base de l’impact moyen d’un régime alimentaire suisse. La moyenne suisse de 2.1 tonnes par habitant et par année a été rapporté à la population communale. Les chiffres sur les impacts des différents régimes alimentaire en Suisse sont basés sur une récente étude sur les impacts de la consommation de nourriture et de boisson en Suisse (Ernstoff et al, 2020, Towards Win–Win Policies for Healthy and Sustainable Diets in Switzerland. Nutrients, 12(9), 2745.). Un risque de double comptage existe. En effet, une partie de la consommation de l’alimentation consommée peut être produite sur le territoire de la commne et de ce fait, est déjà capturées dans d’autres postes de ce bilan. Aussi, une part de ces impacts est capturée dans la catégorie "Restaurants et hôtels" de la consommmation. Les impacts de cette catégorie sont donc surestimés.</t>
  </si>
  <si>
    <t>Consommation de données internet</t>
  </si>
  <si>
    <t>Données administration</t>
  </si>
  <si>
    <t>Investissements publics</t>
  </si>
  <si>
    <t>Déplacements pendulaires</t>
  </si>
  <si>
    <t>Données communales</t>
  </si>
  <si>
    <t>Kilométrage annuel et part modale</t>
  </si>
  <si>
    <t>Déplacements professionels</t>
  </si>
  <si>
    <t>Kilométrage annuel ou consommation de carburant</t>
  </si>
  <si>
    <t>Achats</t>
  </si>
  <si>
    <t xml:space="preserve">Concernant l’alimentation, les émissions de GES ont été estimées sur la base du nombre de repas consommés annuellement par l'administration communale et ses acitivités relatives. Les facteurs d’émissions pour les repas végétariens et non-végétariens proviennent de World Food LCA Database  (WFLDB). </t>
  </si>
  <si>
    <t>Dépenses ou nombre d'équipements informatiques</t>
  </si>
  <si>
    <t>Nombre de véhicules achetés annuellement</t>
  </si>
  <si>
    <t>Dépenses annuelles</t>
  </si>
  <si>
    <t>Les dépenses communales annuelles dans les consommables et le matériel de bureau sont également estimées sur la base des données input/output de l'OFS. Un facteur d'émission moyen par milliers de francs investi dans ce matériel est utilisé.</t>
  </si>
  <si>
    <t>Consommation annuelle d'énergie des bâtiments du patrimoine administratif - Administration, équipements collectifs, écoles, terrains de sport, …</t>
  </si>
  <si>
    <t>Mazout - litres</t>
  </si>
  <si>
    <t>Électricité photovoltaïque - MWh</t>
  </si>
  <si>
    <t>Électricité photovoltaïque - kWh</t>
  </si>
  <si>
    <t>Consommation annuelle d'énergie des bâtiments du patrimoine financier - Logements, biens de rendement, …</t>
  </si>
  <si>
    <t>Vélo à assistance électrique</t>
  </si>
  <si>
    <t>Vélos à assistance électrique</t>
  </si>
  <si>
    <t>Nombre</t>
  </si>
  <si>
    <t>Autres informations</t>
  </si>
  <si>
    <t>Durée de vie / d'utilisation moyenne en années</t>
  </si>
  <si>
    <t>Parc informatique</t>
  </si>
  <si>
    <t>Commentaires</t>
  </si>
  <si>
    <t>Patrimoine communal</t>
  </si>
  <si>
    <t>Patrimoine financier</t>
  </si>
  <si>
    <t>Tonnes de gaz à effet de serre/ETP/an</t>
  </si>
  <si>
    <t>Nombre de repas servis annuellement aux élèves de la commune</t>
  </si>
  <si>
    <t>CHF dépensés</t>
  </si>
  <si>
    <t>Chauffage et eau chaude sanitaire</t>
  </si>
  <si>
    <t>Tonnes de gaz à effet de serre/hab/an*</t>
  </si>
  <si>
    <t>Objectif 2030</t>
  </si>
  <si>
    <t>Tous modes confondus</t>
  </si>
  <si>
    <t>Habitant.e.s au 31.12.19 (StatistiqueVaud, 2019)</t>
  </si>
  <si>
    <t>Estimation des consomations d'énergie finale par agent énergétique issue du cadastre des énergies.</t>
  </si>
  <si>
    <t>Bottom-Up</t>
  </si>
  <si>
    <t>Tpe de données</t>
  </si>
  <si>
    <t>Top-Down</t>
  </si>
  <si>
    <t>Consommation d'électricité sur le territoire communal</t>
  </si>
  <si>
    <t>Microrecensement de la mobilité, 2015
OFS, 2018 (pendulaires résidant en suisses)
INSEE, 2019 (pendulaires frontaliers)</t>
  </si>
  <si>
    <t>Investissements annuels publics et privés dans la construction</t>
  </si>
  <si>
    <t>OFS, 2019</t>
  </si>
  <si>
    <t>DGE, 2019</t>
  </si>
  <si>
    <t>Concernant le traitement des eaux usées, les émissions liées au traitement biologique, à la dénitrification ainsi qu’au prétraitement des boues ont été considérées. Les valeurs moyennes de traitement d'eaux usées par habitant.e sont issues du rapport annuel de gestion 2019 des STEP cantonales publié par la DGE. Les facteurs d’émission pour les différentes étapes de traitement des eaux sont issus d'ecoinvent 3.7.</t>
  </si>
  <si>
    <t>Le facteur d’émission par tonne de déchets incinérés est celui déterminé par l’OFEV et correspond à celui utilisé dans l'inventaire national. Les facteurs d'émissions pour le traitement en fin de vie des différents types de déchets sont issus de la base de données ecoinvent 3.7. Les bénéfices liés au recyclage (émissions négatives) sont allouées aux communes.</t>
  </si>
  <si>
    <t>NIR, 2018</t>
  </si>
  <si>
    <t>NIR, 2018
OFS, 2019</t>
  </si>
  <si>
    <t>L’utilisation du sol, la gestion des terres et les changements d’affectation des surfaces peuvent soit capter, soit libérer des GES. A titre d’exemple, la croissance de la forêt, le déboisement, la photosynthèse, la décomposition, la nitrification/dénitrification, etc. contribuent de manière différenciée au cycle du carbone. Les deux principales affectations du territoire jouant un rôle prépondérant dans le cycle du carbone sont les surfaces forestières et les surfaces agricoles. Les données de l'inventaire national 2018 sur le stockage des sols agricoles et des forêts en Suisse ont étés extrapolées grâce au ratio de la surface communale par rapport à la surface totale suisse. Le surfaces communales sont issues des statistique d'usage du sol de l'OFS.</t>
  </si>
  <si>
    <t>Investissements des habitant.e.s</t>
  </si>
  <si>
    <t>Mobilité des habitant.e.s</t>
  </si>
  <si>
    <t>Méthodologie pour l'établissement du bilan carbone territorial</t>
  </si>
  <si>
    <t>Fortune investie</t>
  </si>
  <si>
    <t>OFEV, 2015</t>
  </si>
  <si>
    <t>Les consommation d'énergie par agent énergétique pour le patrimoine communal sont fournies par les administration communales. Les facteurs d'émissions appliqués proviennent de l'OFEV pour les émission directes et de Ecoinvent 3.7 pour les émissions indirectes</t>
  </si>
  <si>
    <t>Les déplacements professionnels sont modélisé sur la base de données fournies par les administrations communales en kilomètre annuels parcourus par mode de transport ou en litres de carburants consommés. Les facteurs d'émissions utilisés sont extaits d'ecoinvent 3.7 pour ces différents types de transports et de carburants.</t>
  </si>
  <si>
    <t>La deuxième méthode utilise les données fournies par les administrations communales sur la base de leur parc informatique. Les émissions relatives à la production de chaque équipement sont issues de la base de données écoinvent 3.7 et sont lissées sur la base de leur durée de vie / d'utilisation.</t>
  </si>
  <si>
    <t>Chauffage, eau chaude sanitaire et électricité</t>
  </si>
  <si>
    <t>Francs investis dans la construction</t>
  </si>
  <si>
    <r>
      <t xml:space="preserve">Le facteur d’émission par CHF investi est indirectement dérivé de la base de données suisse </t>
    </r>
    <r>
      <rPr>
        <i/>
        <sz val="12"/>
        <color theme="1"/>
        <rFont val="Calibri"/>
        <family val="2"/>
        <scheme val="minor"/>
      </rPr>
      <t>input/output</t>
    </r>
    <r>
      <rPr>
        <sz val="12"/>
        <color theme="1"/>
        <rFont val="Calibri"/>
        <family val="2"/>
        <scheme val="minor"/>
      </rPr>
      <t xml:space="preserve"> fournie par l’OFS.</t>
    </r>
  </si>
  <si>
    <t>Méthodologie pour l'établissement du bilan carbone de l'administration communale</t>
  </si>
  <si>
    <t>Dépenses dans la construction</t>
  </si>
  <si>
    <t>Investissements annuels dans la construction privée</t>
  </si>
  <si>
    <r>
      <t xml:space="preserve">Les émissions liées à la construction et aux infrastructures ont été basées sur des données de l'OFS sur les investissements dans la construction sur l’année 2019 dans les domaines privé. Les dépenses dans les constructions publiques et les infrastructures sont considérées dans le bilan de l'administration communale. Le facteur d’émission par million de CHF investi est indirectement dérivé de la base de données suisse </t>
    </r>
    <r>
      <rPr>
        <i/>
        <sz val="12"/>
        <color theme="1"/>
        <rFont val="Calibri"/>
        <family val="2"/>
        <scheme val="minor"/>
      </rPr>
      <t>input/output</t>
    </r>
    <r>
      <rPr>
        <sz val="12"/>
        <color theme="1"/>
        <rFont val="Calibri"/>
        <family val="2"/>
        <scheme val="minor"/>
      </rPr>
      <t xml:space="preserve"> fournie par l’OFS.</t>
    </r>
  </si>
  <si>
    <t>OFS, 2018</t>
  </si>
  <si>
    <t>Union Suisse des Paysans, 2015</t>
  </si>
  <si>
    <r>
      <rPr>
        <b/>
        <sz val="12"/>
        <color theme="1"/>
        <rFont val="Calibri"/>
        <family val="2"/>
        <scheme val="minor"/>
      </rPr>
      <t>OBJECTIF:</t>
    </r>
    <r>
      <rPr>
        <sz val="12"/>
        <color theme="1"/>
        <rFont val="Calibri"/>
        <family val="2"/>
        <scheme val="minor"/>
      </rPr>
      <t xml:space="preserve"> Cet outil a pour objectif d'aider les communes du canton de Vaud à mesurer leur bilan carbone afin de mettre en avant les sources principales d'émissions de gaz à effet de serre émises sur le territoire communal ainsi que par les acteurs du territoire. Cet outil n'est pas un outil de monitoring annuel des émissions et de l'effficacité de la mise en place de politiques publiques et de leurs effets sur les émissions de gaz à effet de serre. En effet, il s'agit d'un bilan carbone simplifié qui permet aux communes d'effectuer une "photographie" de ses émissions, afin d'informer le développement d'un plan climat robuste et aider à la priorisation d'actions de réduction.
Ce bilan carbone est divisé en deux périmètres:
- Le premier périmètre est celui du territoire communal et de ses habitant.e.s.
- Le deuxième est celui de l'administration communale
</t>
    </r>
  </si>
  <si>
    <t>Les données déjà intégrées dans l'outil et sont représentées de la manière suivante:</t>
  </si>
  <si>
    <t xml:space="preserve">RESSOURCES UTILES:
Plan énergie et climat communal: https://www.vd.ch/no_cache/themes/etat-droit-finances/communes/climat-et-durabilite/plan-energie-et-climat-communal-pecc/
</t>
  </si>
  <si>
    <t>Plan énergie et climat communal (PECC)</t>
  </si>
  <si>
    <t>Stratégie climatique à long terme de la Suisse</t>
  </si>
  <si>
    <t>Plan climat cantonal vaudois - 1ère génération</t>
  </si>
  <si>
    <t>Écobilan de nos gestes du quotidien</t>
  </si>
  <si>
    <r>
      <t xml:space="preserve">CONTACT:
</t>
    </r>
    <r>
      <rPr>
        <sz val="12"/>
        <color theme="1"/>
        <rFont val="Calibri"/>
        <family val="2"/>
        <scheme val="minor"/>
      </rPr>
      <t>Bureau de la durabilité: pecc@vd.ch</t>
    </r>
    <r>
      <rPr>
        <b/>
        <sz val="12"/>
        <color theme="1"/>
        <rFont val="Calibri"/>
        <family val="2"/>
        <scheme val="minor"/>
      </rPr>
      <t xml:space="preserve">
</t>
    </r>
    <r>
      <rPr>
        <sz val="12"/>
        <color theme="1"/>
        <rFont val="Calibri"/>
        <family val="2"/>
        <scheme val="minor"/>
      </rPr>
      <t xml:space="preserve">Cet outil à été développé par Quantis.
</t>
    </r>
  </si>
  <si>
    <r>
      <t xml:space="preserve">Bilan carbone territorial: </t>
    </r>
    <r>
      <rPr>
        <sz val="12"/>
        <color theme="1"/>
        <rFont val="Calibri"/>
        <family val="2"/>
        <scheme val="minor"/>
      </rPr>
      <t xml:space="preserve">Le bilan carbone territorial mesure toutes les émissions de gaz à effet de serre émises sur le territoire de la commune (émissions directes) ainsi que toutes celles émises hors du territoire (émissions indirectes) liées aux activités et à la consommation des habitant.e.s de la commune. </t>
    </r>
  </si>
  <si>
    <r>
      <t xml:space="preserve">Bilan carbone de l'administration communale: </t>
    </r>
    <r>
      <rPr>
        <sz val="12"/>
        <color theme="1"/>
        <rFont val="Calibri"/>
        <family val="2"/>
        <scheme val="minor"/>
      </rPr>
      <t>Le bilan carbone de l'administration communale mesure toutes les émissions de gaz à effet de serre résultant des activités de l'administration communale émises tant sur le territoire communal (émissions directes) qu'en dehors (émissions indirectes).</t>
    </r>
  </si>
  <si>
    <t>www.quantis-intl.com</t>
  </si>
  <si>
    <t xml:space="preserve">* Une attention particulière doit être portée à la lecture de cette valeur. Elle ne signifie pas que les habitant.e.s de la commune sont directement et exclusivement responsables de ces émissions. En effet, une partie des émissions sont par exemple générées par l’industrie d’exportation présente sur le territoire communal, l'agriculture, ou encore par les déplacements de pendulaires externes. Il s’agit d’un indicateur courant divisant les émissions totales de la commune par la population résidente. </t>
  </si>
  <si>
    <t>Fiche 16 "Mobilité"</t>
  </si>
  <si>
    <t>Fiches 4 "Participation" et 5 "Achats publics"</t>
  </si>
  <si>
    <t>Fiches 9 "Alimentation durable"</t>
  </si>
  <si>
    <t>Fiche 6 "Déchets"</t>
  </si>
  <si>
    <t>Fiche 8 "Construction durable"</t>
  </si>
  <si>
    <t>Fiche 9 "Alimentation durable"</t>
  </si>
  <si>
    <t>Fiche 5 "Achats publics"
Fiche 6 "Déchets"</t>
  </si>
  <si>
    <t>Fiche 8 "Construction durable"
Fiche 11 "Exemplarité"</t>
  </si>
  <si>
    <t>Fiche 12 "Eclairage public"</t>
  </si>
  <si>
    <t>Fiche 15 "Production photovoltaïque"</t>
  </si>
  <si>
    <r>
      <t xml:space="preserve">UTILISATION DE L'OUTIL: </t>
    </r>
    <r>
      <rPr>
        <sz val="12"/>
        <color theme="1"/>
        <rFont val="Calibri"/>
        <family val="2"/>
        <scheme val="minor"/>
      </rPr>
      <t xml:space="preserve">L'outil a été développé afin de permettre aux communes de réaliser leur bilan carbone de la manière la plus simplifée possible, en réduisant les ressources nécessaires à la collecte des données notamment. Pour ce faire, toutes les données disponibles au niveau cantonal ou fédéral ont déjà été pré-remplies dans l'outil (ex. données de consommation d'électricité et de chauffage fournies par la DIREN, données relatives à la mobilité fournies par le microrecensement cantonal de la mobilité, données relatives à la consommation des ménages fournies par l'Office fédéral de l'environnement, ...).
</t>
    </r>
    <r>
      <rPr>
        <b/>
        <sz val="12"/>
        <color theme="1"/>
        <rFont val="Calibri"/>
        <family val="2"/>
        <scheme val="minor"/>
      </rPr>
      <t xml:space="preserve">
La première étape consiste à remplir les données générales relatives à la commune, dans l'onglet correspondant.
La deuxième étape consiste à remplir les différentes cellules des onglets "Données Territoire" et "Données Administration" à l'aide de données à disposition de l'administration communale.</t>
    </r>
  </si>
  <si>
    <t>Les données qui doivent être remplies par l'utilsateur.trice de l'administration communale sont présentées de la manière suivante:</t>
  </si>
  <si>
    <r>
      <t xml:space="preserve">Introduction:  </t>
    </r>
    <r>
      <rPr>
        <sz val="12"/>
        <color theme="1"/>
        <rFont val="Calibri"/>
        <family val="2"/>
        <scheme val="minor"/>
      </rPr>
      <t xml:space="preserve">cet onglet contient les explications et le mode d'emploi de l'outil.
</t>
    </r>
    <r>
      <rPr>
        <b/>
        <sz val="12"/>
        <color theme="1"/>
        <rFont val="Calibri"/>
        <family val="2"/>
        <scheme val="minor"/>
      </rPr>
      <t>Données générales:</t>
    </r>
    <r>
      <rPr>
        <sz val="12"/>
        <color theme="1"/>
        <rFont val="Calibri"/>
        <family val="2"/>
        <scheme val="minor"/>
      </rPr>
      <t xml:space="preserve"> les informations générales à remplir afin de compléter le bilan.
</t>
    </r>
    <r>
      <rPr>
        <b/>
        <sz val="12"/>
        <color theme="1"/>
        <rFont val="Calibri"/>
        <family val="2"/>
        <scheme val="minor"/>
      </rPr>
      <t>Données territoire:</t>
    </r>
    <r>
      <rPr>
        <sz val="12"/>
        <color theme="1"/>
        <rFont val="Calibri"/>
        <family val="2"/>
        <scheme val="minor"/>
      </rPr>
      <t xml:space="preserve"> cet onglet contient les données nécessaires au calcul du bilan carbone territorial. L'utilisateur.trice doit compléter les données manquantes des cellules vertes à l'aide des données à disposition de la commune.
</t>
    </r>
    <r>
      <rPr>
        <b/>
        <sz val="12"/>
        <color theme="1"/>
        <rFont val="Calibri"/>
        <family val="2"/>
        <scheme val="minor"/>
      </rPr>
      <t>Résultats territoire:</t>
    </r>
    <r>
      <rPr>
        <sz val="12"/>
        <color theme="1"/>
        <rFont val="Calibri"/>
        <family val="2"/>
        <scheme val="minor"/>
      </rPr>
      <t xml:space="preserve"> cet onglet montre les résultats du bilan carbone territorial.
</t>
    </r>
    <r>
      <rPr>
        <b/>
        <sz val="12"/>
        <color theme="1"/>
        <rFont val="Calibri"/>
        <family val="2"/>
        <scheme val="minor"/>
      </rPr>
      <t>Méthodologie territoire:</t>
    </r>
    <r>
      <rPr>
        <sz val="12"/>
        <color theme="1"/>
        <rFont val="Calibri"/>
        <family val="2"/>
        <scheme val="minor"/>
      </rPr>
      <t xml:space="preserve"> regroupe les méthodes de calculs utilisées pour les différentes catégories du bilan territorial.
</t>
    </r>
    <r>
      <rPr>
        <b/>
        <sz val="12"/>
        <color theme="1"/>
        <rFont val="Calibri"/>
        <family val="2"/>
        <scheme val="minor"/>
      </rPr>
      <t>Données administration:</t>
    </r>
    <r>
      <rPr>
        <sz val="12"/>
        <color theme="1"/>
        <rFont val="Calibri"/>
        <family val="2"/>
        <scheme val="minor"/>
      </rPr>
      <t xml:space="preserve"> cet onglet contient les données nécessaires au calcul du bilan carbone de l'administration. L'utilisateur.trice doit compléter les données manquantes des cellules vertes à l'aide des données à disposition de la commune.
</t>
    </r>
    <r>
      <rPr>
        <b/>
        <sz val="12"/>
        <color theme="1"/>
        <rFont val="Calibri"/>
        <family val="2"/>
        <scheme val="minor"/>
      </rPr>
      <t>Résultats administration:</t>
    </r>
    <r>
      <rPr>
        <sz val="12"/>
        <color theme="1"/>
        <rFont val="Calibri"/>
        <family val="2"/>
        <scheme val="minor"/>
      </rPr>
      <t xml:space="preserve"> cet onglet montre les résultats du bilan carbone de l'administration communale.
</t>
    </r>
    <r>
      <rPr>
        <b/>
        <sz val="12"/>
        <color theme="1"/>
        <rFont val="Calibri"/>
        <family val="2"/>
        <scheme val="minor"/>
      </rPr>
      <t>Méthodologie administration:</t>
    </r>
    <r>
      <rPr>
        <sz val="12"/>
        <color theme="1"/>
        <rFont val="Calibri"/>
        <family val="2"/>
        <scheme val="minor"/>
      </rPr>
      <t xml:space="preserve"> regroupe les méthodes de calculs utilisées pour les différentes catégories du bilan de l'administration communale.
</t>
    </r>
  </si>
  <si>
    <r>
      <t xml:space="preserve">MÉTHODOLOGIE:
</t>
    </r>
    <r>
      <rPr>
        <sz val="12"/>
        <color theme="1"/>
        <rFont val="Calibri"/>
        <family val="2"/>
        <scheme val="minor"/>
      </rPr>
      <t>Le bilan des émissions de GES du canton de Vaud est issu du cadre méthodologique retenu du GHG Protocol Community-Scale. Quelques adaptations sont toutefois apportées à des fins de simplification ou de clarté, ainsi que pour mettre en avant certains postes d’émissions importants à l’échelle des communes. Le bilan est séparé en différentes catégories représentant les principaux postes d’émissions de la commune, de ses habitant.e.s et de ses activités. Ces catégories sont résumées dans la figure ci-dessous. Cette approche qui inclut les émissions directes (émises sur le territoire) et indirectes (émises en dehors du territoire) fournit ainsi un bilan carbone cantonal complet.</t>
    </r>
  </si>
  <si>
    <t>Nombre d'employé.e.s communaux.ales au 31.12 de l'année du reporting</t>
  </si>
  <si>
    <t>Sont considérés l'exécutif de la commune, ainsi que les employé.e.s communaux.ales salarié.e.s de la commune. Les employé.e.s de services intercommunaux sont pris en compte également, au prorata du temps/investissement passé pour la commune.</t>
  </si>
  <si>
    <t>Focus sur la mobilité (habitant.e.s et pendulaires externes)</t>
  </si>
  <si>
    <t>Le kilométrage moyen annuel par habitant.e vaudois.e et par an est utilisé. Les données sont issues du microrecensement vaudois 2015. Les fateurs d'émissions des transports aérien sont issue de la base de données de la DEFRA qui prend en compte le taux d'occupation moyen des avions, le type d'avion ainsi que les effets liés au "radiative forcing" des émissions en haute altitude (facteur de multiplication des émissions en haute altitude de 1.9 utilisé). 50% de la distance parcourue annuellement par les habitant.e.s est imputée à la commune d'origine.</t>
  </si>
  <si>
    <t>Les effectifs frontaliers se rendant en Suisse par différents modes de transports ainsi que les hypothèses sur les parts modales, le taux d’occupation des véhicules et les distances moyennes journalières sont extraites de la base de données de l’Institut national de la statistique et des études économiques (INSEE) en France. Cette base de données recense les déplacements et les modes de transports des frontaliers. Les statistiques du nombre de pendulaires frontaliers et suisses sont respectivement issues des statistiques fédérales des pendulaires par communes pour l'année 2019. Les kilométrages totaux annuels des pendulaires sont ainsi calculé par mode de transport. Les facteurs d'émissions utilisés sont extaits d'ecoinvent 3.7 pour ces différents types de transports. 50% des déplacements sont alloués à la commune du lieu de travail et 50% sont alloués à la commune de domicile. Une moyenne de 220 jours de travail annuels est utilisée. Cette catégorie ne prends pas en compte le traffic de transit qui traverse le territoire communal.</t>
  </si>
  <si>
    <t>Pour les émissions de GES liées au numérique, le transfert de données mobiles et wifi ainsi que la consommation énergétique et électrique des data centres ont été approximés. Les facteurs d’émission pour le transfert de données et les data centres ainsi que la moyenne de consommation de données par habitant.e proviennent d’un projet interne à Quantis sur les impacts du numérique en Suisse. Cette catégorie présente un risque de double comptage si les data centres ou les antennes relais sont situées sur le territoire de la commune. En effet, la consommation électrique des antennes et des centres potentiellement situés sur sol communal sont déjà intégrées dans la consommation d'électricité de la commune.</t>
  </si>
  <si>
    <t>Le modèle a été construit à l’aide de la fortune moyenne suisse adaptée grâce au PIB cantonal vaudois, soit près de 200’000 CHF par habitant.e actif.ve. Les facteurs d’émission par million de CHF investis proviennent d’une étude mandatée par l’OFEV (2015) . Deux types d’investissements ont été retenus : des investissements moyens dans l’économie mondiale ainsi qu’une part d’investissements « durables » ayant une plus faible empreinte carbone associée. La part exacte et la destination exacte des investissements de chaque Vaudois étant inconnue, des hypothèses ont été réalisées afin de quantifier les investissements classiques et les investissements dits durables. L’estimation d’un ratio de 90% d’investissements dans des fonds traditionnels et de 10% d’investissements dans des fonds durables a été retenue.</t>
  </si>
  <si>
    <t>Mobilité des employé.e.s communaux.ales</t>
  </si>
  <si>
    <t>Déplacements pendulaires des employé.e.s communaux.ales - Veuillez compléter les cases vertes si des données plus précises (ex. plan de mobilité) sont à votre disposition</t>
  </si>
  <si>
    <t>Déplacements professionnels des employé.e.s communaux.ales</t>
  </si>
  <si>
    <t>Déplacements pendulaires des employé.e.s communaux.ales</t>
  </si>
  <si>
    <t>Déplacements professionels des employé.e.s communaux.ales</t>
  </si>
  <si>
    <t>Si les données d'un plan de mobilité ne sont pas à disposition, les déplacements pendulaires sont modélisés selon les données présentes dans le microrecensement vaudois 2015. Les parts modales, les distances journalières sont extraites selon la typologie cantonale utilisée dans le MRMT 2015. Les kilométrages totaux annuels des employé.e.s communaux.ales sont ainsi calculé par mode de transport. Les facteurs d'émissions utilisés sont extaits d'ecoinvent 3.7.</t>
  </si>
  <si>
    <t>Fiches 10 à 15 "Énergie"</t>
  </si>
  <si>
    <t>Fiche 8 "Construction durable"
Fiche 11 "Exemplarité"
Fiche 14 "Réseaux de chaleur"</t>
  </si>
  <si>
    <t>Habitant.e.s au 31.12.19</t>
  </si>
  <si>
    <t>Typologie de commune selon le microrecensement de la mobilité</t>
  </si>
  <si>
    <t>La mobilité est modélisée selon les données présentes dans le microrecensement vaudois 2015. Les parts modales, les motifs de déplacement et les distances journalières sont extraites selon la typologie cantonale utilisée dans le MRMT 2015. Cette typologie distingue les communes selon leur densité de population et d’emploi ainsi qu’en fonction des conditions qu’elles offrent aux habitants pour accéder aux services et à l’emploi. Elle tient compte également de la pendularité des habitants. Ce découpage distingue sept types de communes: Lausanne, les centres principaux, le suburbain, le suburbain dispersé, les centres secondaires, les communes périurbaines et les communes de montagne. Les kilométrages totaux annuels des habitant.e.s sont ainsi calculé par mode de transport. Les facteurs d'émissions utilisés sont extaits d'ecoinvent 3.7 pour ces différents types de transports. 100% des déplacements sont alloués aux habitant.e.s de la communes.</t>
  </si>
  <si>
    <r>
      <rPr>
        <sz val="12"/>
        <color theme="1"/>
        <rFont val="Calibri"/>
        <family val="2"/>
        <scheme val="minor"/>
      </rPr>
      <t>La méthodologie appliquée pour chaque catégorie est détaillée dans l'onglet "Méthodologie.
Concernant les données, trois niveaux d'aggrégation des données sont utilisées dans cet outil:
1. Données  issues des annuaires statistiques ou fournies par les différents services de l'État à un niveau d'aggrégation communal.
2. Données  issues des annuaires statistiques ou fournies par les différents services de l'État à un niveau d'aggrégation cantonal ou régional et extrapolées par commune.
3. Données  issues des annuaires statistiques ou fournies par les différents services de l'État à un niveau d'aggrégation fédéral et extrapolées par commune.</t>
    </r>
    <r>
      <rPr>
        <b/>
        <sz val="12"/>
        <color theme="1"/>
        <rFont val="Calibri"/>
        <family val="2"/>
        <scheme val="minor"/>
      </rPr>
      <t xml:space="preserve">
</t>
    </r>
    <r>
      <rPr>
        <sz val="12"/>
        <color theme="1"/>
        <rFont val="Calibri"/>
        <family val="2"/>
        <scheme val="minor"/>
      </rPr>
      <t>Le niveau de précision des données d'entrées dépend fortement du niveau d'aggrégation des données sources. Le niveu de détail des données est indiqué dans la colonne correspondante pour chaque catégorie. L'interprétation des résultats doit prendre en compte les sources différentes de données et les différents niveaux de précision. Si des données communales très précises sont disponibles pour certaines catégories, d'autres ne sont disponible qu'au niveau fédéral. Les spécificités de la commune ne sont par conséquent pas capturées dans ce cas.</t>
    </r>
    <r>
      <rPr>
        <b/>
        <sz val="12"/>
        <color theme="1"/>
        <rFont val="Calibri"/>
        <family val="2"/>
        <scheme val="minor"/>
      </rPr>
      <t xml:space="preserve">
</t>
    </r>
    <r>
      <rPr>
        <sz val="12"/>
        <color theme="1"/>
        <rFont val="Calibri"/>
        <family val="2"/>
        <scheme val="minor"/>
      </rPr>
      <t>Au niveau des facteurs d'émissions utilisés pour le calcul des émissions de gaz é effet de serre, ceux-ci sont issus de sources diverses mais incluent les émissions directes (ex. combustion) et indirectes (énergie grise, ex. transport et production).</t>
    </r>
    <r>
      <rPr>
        <b/>
        <sz val="12"/>
        <color theme="1"/>
        <rFont val="Calibri"/>
        <family val="2"/>
        <scheme val="minor"/>
      </rPr>
      <t xml:space="preserve"> </t>
    </r>
    <r>
      <rPr>
        <sz val="12"/>
        <color theme="1"/>
        <rFont val="Calibri"/>
        <family val="2"/>
        <scheme val="minor"/>
      </rPr>
      <t>Les principaux facteurs d'émissions utilisés ainsi que leur source sont précisés dans le dernier onglet de cet outil.</t>
    </r>
  </si>
  <si>
    <t>National Inventory Report 2020</t>
  </si>
  <si>
    <t>Quantis World Food LCA Database</t>
  </si>
  <si>
    <t>Department for Environment and Rural Affairs UK, 2020</t>
  </si>
  <si>
    <t>Office Fédéral de l'Environnement, 2019</t>
  </si>
  <si>
    <t>Investissements annuels dans la construction publique (comptes d'entretient et amortissement annuels)</t>
  </si>
  <si>
    <t>Onglet "Données Territoire"</t>
  </si>
  <si>
    <t>Nombre de véhicules</t>
  </si>
  <si>
    <t>Moyenne suisse - 2019</t>
  </si>
  <si>
    <t>Objectif 2050</t>
  </si>
  <si>
    <t>Hautemorges</t>
  </si>
  <si>
    <t>Électricité (hors chauffage et eau chaude sanitaire)</t>
  </si>
  <si>
    <t>Microrecensement de la mobilité, 2015 / INSEE, 2018 / Relevé structurel OFS, 2019</t>
  </si>
  <si>
    <t>Communal (effectifs pendulaires) et typologie cantonale (kilométrage et parts modales)</t>
  </si>
  <si>
    <t>Données GRD 2019</t>
  </si>
  <si>
    <t>Électricité (Hors chaleur)</t>
  </si>
  <si>
    <t xml:space="preserve"> </t>
  </si>
  <si>
    <t>Gestion et traitements des déchets et eaux usées</t>
  </si>
  <si>
    <t>Usages spécifiques de l'électricité (Hors chaleur)</t>
  </si>
  <si>
    <t>Remorques</t>
  </si>
  <si>
    <t>Remorque, achat</t>
  </si>
  <si>
    <t xml:space="preserve">L'impact de production des véhicules achetés par l'administration communale est calculé sur la base du nombre et du type de véhicule aquis. Deux approches sont possible: l'entier du parc de véhicule au 31.12 de l'année de reporting est considéré et la durée de vie moyenne des véhicules est ajoutée afin de lisser les impacts et éviter les pics d'achats, ou seuls les achats de véhicules de l'année en cours sont comptabilisés et la durée de vie est gardée à une année afin de comptabiliser l'entier des impacts sur l'année d'acquisition. Les facteurs d'émissions pour la production des différents véhicules (voitures de services, camionnettes et gros utlitaites) sont issus d'ecoinvent 3.7. </t>
  </si>
  <si>
    <t>Achats de véhicules annuel ou parc de véhicule total (Services inter-communaux: comptabiliser au prorata de la participation de la commune)</t>
  </si>
  <si>
    <t>Objectifs de réduction alignés avec la stratégie climatique suisse et les Accords de Paris*</t>
  </si>
  <si>
    <t>* Les chiffres nationaux sont issus des "Indicateurs de l'évolution des émissions de gaz à effet de serre en Suisse (1990-2019)", produit par l'OFEV en 2021. Le périmètre est similaire à celui de la méthodologie cantonale, tooutefois, certaines différences subsistent. Les investissements financiers ne sont pas comptabilisés dans ces chiffres.
Concernant les objectifs, ceux-ci sont issus de la "Stratégie climatique à long terme de la Suisse" (OFEV, 2021).</t>
  </si>
  <si>
    <t>DIREN, 2020</t>
  </si>
  <si>
    <t>Estimation de la consommation d'énergie finale par agent énergétique en 2020 et par usage spécifique pour toutes les communes vaudoises. Ces données sont issues d’estimations basées sur des indices de dépense de chaleur qui évoluent et qui doivent être mises à jour sur la base de données réelles de consommation. Les facteurs d'émissions appliqués proviennent de l'OFEV pour les émission directes et de Ecoinvent 3.7 pour les émissions indirectes</t>
  </si>
  <si>
    <t>Consommation d'électricité sur le territoire communal fournies par la DIREN pour l'année 2020. Pour ce qui est de la définition de l’intensité carbone de l’électricité du mix électrique de consommation, dans sa fiche d’information pour l’établissement des rapports CO2 par les cantons, l’OFEV  recommande l’utilisation d’un facteur correspondant au mix électrique suisse de consommation finale incluant les importations, soit 181 g CO2eq/kWh.</t>
  </si>
  <si>
    <t>Consommation d'énergie finale 2020 - Les données par défaut sont fournies par les GRD, il est possible de remplacer ces données par des données plus récentes de la commune</t>
  </si>
  <si>
    <t>Pas de déplacement en avion</t>
  </si>
  <si>
    <t>Pas de chauffage à distance</t>
  </si>
  <si>
    <t>Pas de voiture de l'administration</t>
  </si>
  <si>
    <t>n/a</t>
  </si>
  <si>
    <t>Pas de cantine de l'administration</t>
  </si>
  <si>
    <t>estimation</t>
  </si>
  <si>
    <t>Pas de PV</t>
  </si>
  <si>
    <t>Aucune idée</t>
  </si>
  <si>
    <t>Pick-up Isuzu</t>
  </si>
  <si>
    <t xml:space="preserve">Remoque de rapid rouge 
Remoque d'arrosage
Remoque Humbaur HT (cantine)
Petite remoque grise (ancienne à Lili) </t>
  </si>
  <si>
    <t>Tracteur John Deere 3720   32,4 CV (Grand)
Tracteur John Deere 1026 R   16,8 CV (Petit)</t>
  </si>
  <si>
    <t>fourchette verte</t>
  </si>
  <si>
    <t>Secrétariat AISE</t>
  </si>
  <si>
    <t>Bourse</t>
  </si>
  <si>
    <t>Christinet I, Atelier des Montagnes, Appart 201, Local 102. Attention: il manque l'électricité payée directement par les locataires (Auberge, Chalet, etc.)</t>
  </si>
  <si>
    <t>42.6 MJ/L</t>
  </si>
  <si>
    <t>15000 MJ/t</t>
  </si>
  <si>
    <t>www.vaud-stat-dechets.ch</t>
  </si>
  <si>
    <t>AGFORS; Le Vaud possède 522 ha de forêts dont environ 277 ha de pâturages boisés</t>
  </si>
  <si>
    <t>Estimation</t>
  </si>
  <si>
    <t>Eau = 66'380 kWh; Routes = 5'071 kWh; Bâtiments = 66'717 kWh (dont 18135 kWh loués)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</si>
</sst>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64" formatCode="_ * #,##0.00_)_ ;_ * \(#,##0.00\)_ ;_ * &quot;-&quot;??_)_ ;_ @_ "/>
    <numFmt numFmtId="165" formatCode="_ * #,##0.0_)_ ;_ * \(#,##0.0\)_ ;_ * &quot;-&quot;??_)_ ;_ @_ "/>
    <numFmt numFmtId="166" formatCode="_ * #,##0_)_ ;_ * \(#,##0\)_ ;_ * &quot;-&quot;??_)_ ;_ @_ "/>
    <numFmt numFmtId="167" formatCode="0.0%"/>
    <numFmt numFmtId="168" formatCode="_ * #,##0_)_ ;_ * \-#,##0_ ;_ * &quot;-&quot;??_)_ ;_ @_ "/>
    <numFmt numFmtId="169" formatCode="_ * #,##0.00_)\ _C_H_F_ ;_ * \(#,##0.00\)\ _C_H_F_ ;_ * &quot;-&quot;??_)\ _C_H_F_ ;_ @_ "/>
    <numFmt numFmtId="170" formatCode="0.0"/>
    <numFmt numFmtId="171" formatCode="_ * #,##0.000_)_ ;_ * \(#,##0.000\)_ ;_ * &quot;-&quot;??_)_ ;_ @_ "/>
    <numFmt numFmtId="172" formatCode="_ * #,##0.0_)\ _C_H_F_ ;_ * \(#,##0.0\)\ _C_H_F_ ;_ * &quot;-&quot;??_)\ _C_H_F_ ;_ @_ "/>
    <numFmt numFmtId="173" formatCode="_-* #,##0.00\ _C_H_F_-;\-* #,##0.00\ _C_H_F_-;_-* &quot;-&quot;??\ _C_H_F_-;_-@_-"/>
    <numFmt numFmtId="174" formatCode="_ * #,##0.0_)_ ;_ * \-#,##0.0_ ;_ * &quot;-&quot;??_)_ ;_ @_ "/>
  </numFmts>
  <fonts count="39">
    <font>
      <sz val="12"/>
      <color theme="1"/>
      <name val="Calibri"/>
      <family val="2"/>
      <scheme val="minor"/>
    </font>
    <font>
      <sz val="12"/>
      <color theme="1"/>
      <name val="Calibri"/>
      <family val="2"/>
      <scheme val="minor"/>
    </font>
    <font>
      <b/>
      <sz val="12"/>
      <color theme="0"/>
      <name val="Calibri"/>
      <family val="2"/>
      <scheme val="minor"/>
    </font>
    <font>
      <sz val="12"/>
      <color rgb="FFFF0000"/>
      <name val="Calibri"/>
      <family val="2"/>
      <scheme val="minor"/>
    </font>
    <font>
      <b/>
      <sz val="12"/>
      <color theme="1"/>
      <name val="Calibri"/>
      <family val="2"/>
      <scheme val="minor"/>
    </font>
    <font>
      <sz val="12"/>
      <color theme="0"/>
      <name val="Calibri"/>
      <family val="2"/>
      <scheme val="minor"/>
    </font>
    <font>
      <b/>
      <sz val="14"/>
      <color theme="0"/>
      <name val="Calibri"/>
      <family val="2"/>
      <scheme val="minor"/>
    </font>
    <font>
      <i/>
      <sz val="12"/>
      <color theme="1"/>
      <name val="Calibri"/>
      <family val="2"/>
      <scheme val="minor"/>
    </font>
    <font>
      <u/>
      <sz val="12"/>
      <color theme="4"/>
      <name val="Calibri"/>
      <family val="2"/>
      <scheme val="minor"/>
    </font>
    <font>
      <u/>
      <sz val="12"/>
      <color theme="1"/>
      <name val="Calibri"/>
      <family val="2"/>
      <scheme val="minor"/>
    </font>
    <font>
      <i/>
      <sz val="12"/>
      <color theme="8"/>
      <name val="Calibri"/>
      <family val="2"/>
      <scheme val="minor"/>
    </font>
    <font>
      <u/>
      <sz val="12"/>
      <color theme="8"/>
      <name val="Calibri"/>
      <family val="2"/>
      <scheme val="minor"/>
    </font>
    <font>
      <sz val="12"/>
      <color rgb="FF514541"/>
      <name val="Calibri"/>
      <family val="2"/>
      <scheme val="minor"/>
    </font>
    <font>
      <sz val="8"/>
      <name val="Calibri"/>
      <family val="2"/>
      <scheme val="minor"/>
    </font>
    <font>
      <vertAlign val="superscript"/>
      <sz val="12"/>
      <color theme="1"/>
      <name val="Calibri (Corps)"/>
    </font>
    <font>
      <i/>
      <sz val="12"/>
      <color theme="0"/>
      <name val="Calibri"/>
      <family val="2"/>
      <scheme val="minor"/>
    </font>
    <font>
      <b/>
      <sz val="14"/>
      <color theme="1"/>
      <name val="Calibri"/>
      <family val="2"/>
      <scheme val="minor"/>
    </font>
    <font>
      <b/>
      <sz val="12"/>
      <color theme="2" tint="-0.89999084444715716"/>
      <name val="Calibri"/>
      <family val="2"/>
      <scheme val="minor"/>
    </font>
    <font>
      <sz val="9"/>
      <color rgb="FF514541"/>
      <name val="Calibri"/>
      <family val="2"/>
      <scheme val="minor"/>
    </font>
    <font>
      <sz val="9"/>
      <color theme="1"/>
      <name val="Calibri"/>
      <family val="2"/>
      <scheme val="minor"/>
    </font>
    <font>
      <b/>
      <sz val="9"/>
      <color rgb="FF514541"/>
      <name val="Calibri"/>
      <family val="2"/>
      <scheme val="minor"/>
    </font>
    <font>
      <b/>
      <sz val="12"/>
      <color rgb="FFFFFFFF"/>
      <name val="Calibri"/>
      <family val="2"/>
      <scheme val="minor"/>
    </font>
    <font>
      <b/>
      <sz val="12"/>
      <color rgb="FF514541"/>
      <name val="Calibri"/>
      <family val="2"/>
      <scheme val="minor"/>
    </font>
    <font>
      <b/>
      <vertAlign val="superscript"/>
      <sz val="9"/>
      <color rgb="FF514541"/>
      <name val="Calibri (Corps)"/>
    </font>
    <font>
      <sz val="11"/>
      <color rgb="FF002060"/>
      <name val="Calibri"/>
      <family val="2"/>
      <scheme val="minor"/>
    </font>
    <font>
      <sz val="12"/>
      <color theme="0" tint="-4.9989318521683403E-2"/>
      <name val="Calibri"/>
      <family val="2"/>
      <scheme val="minor"/>
    </font>
    <font>
      <b/>
      <vertAlign val="subscript"/>
      <sz val="12"/>
      <color theme="1"/>
      <name val="Calibri (Corps)"/>
    </font>
    <font>
      <sz val="10"/>
      <color theme="0" tint="-4.9989318521683403E-2"/>
      <name val="Calibri"/>
      <family val="2"/>
      <scheme val="minor"/>
    </font>
    <font>
      <sz val="12"/>
      <color theme="1"/>
      <name val="Calibri (Corps)"/>
    </font>
    <font>
      <sz val="8"/>
      <color theme="1"/>
      <name val="Arial"/>
      <family val="2"/>
    </font>
    <font>
      <sz val="12"/>
      <color theme="8"/>
      <name val="Calibri"/>
      <family val="2"/>
      <scheme val="minor"/>
    </font>
    <font>
      <sz val="12"/>
      <color theme="4"/>
      <name val="Calibri"/>
      <family val="2"/>
      <scheme val="minor"/>
    </font>
    <font>
      <sz val="11"/>
      <color theme="1"/>
      <name val="Calibri"/>
      <family val="2"/>
      <scheme val="minor"/>
    </font>
    <font>
      <sz val="10"/>
      <name val="Arial"/>
      <family val="2"/>
    </font>
    <font>
      <sz val="10"/>
      <color rgb="FF000000"/>
      <name val="Arial"/>
      <family val="2"/>
    </font>
    <font>
      <sz val="11"/>
      <color rgb="FF000000"/>
      <name val="Calibri"/>
      <family val="2"/>
    </font>
    <font>
      <sz val="14"/>
      <color theme="0"/>
      <name val="Calibri"/>
      <family val="2"/>
      <scheme val="minor"/>
    </font>
    <font>
      <sz val="12"/>
      <color theme="3"/>
      <name val="Calibri"/>
      <family val="2"/>
      <scheme val="minor"/>
    </font>
    <font>
      <sz val="12"/>
      <color rgb="FFFFFFFF"/>
      <name val="Calibri"/>
      <family val="2"/>
      <scheme val="minor"/>
    </font>
  </fonts>
  <fills count="17">
    <fill>
      <patternFill patternType="none"/>
    </fill>
    <fill>
      <patternFill patternType="gray125"/>
    </fill>
    <fill>
      <patternFill patternType="solid">
        <fgColor theme="4"/>
        <bgColor indexed="64"/>
      </patternFill>
    </fill>
    <fill>
      <patternFill patternType="solid">
        <fgColor theme="0"/>
        <bgColor indexed="64"/>
      </patternFill>
    </fill>
    <fill>
      <patternFill patternType="solid">
        <fgColor theme="2"/>
        <bgColor indexed="64"/>
      </patternFill>
    </fill>
    <fill>
      <patternFill patternType="solid">
        <fgColor theme="8"/>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FF"/>
        <bgColor rgb="FF000000"/>
      </patternFill>
    </fill>
    <fill>
      <patternFill patternType="solid">
        <fgColor theme="7"/>
        <bgColor indexed="64"/>
      </patternFill>
    </fill>
    <fill>
      <patternFill patternType="solid">
        <fgColor theme="9"/>
        <bgColor indexed="64"/>
      </patternFill>
    </fill>
    <fill>
      <patternFill patternType="solid">
        <fgColor theme="0"/>
        <bgColor rgb="FF000000"/>
      </patternFill>
    </fill>
    <fill>
      <patternFill patternType="solid">
        <fgColor rgb="FFECE9E9"/>
        <bgColor rgb="FF000000"/>
      </patternFill>
    </fill>
    <fill>
      <patternFill patternType="solid">
        <fgColor rgb="FFFFFF00"/>
        <bgColor indexed="64"/>
      </patternFill>
    </fill>
    <fill>
      <patternFill patternType="solid">
        <fgColor rgb="FF007CB0"/>
        <bgColor rgb="FF000000"/>
      </patternFill>
    </fill>
    <fill>
      <patternFill patternType="solid">
        <fgColor theme="8"/>
        <bgColor rgb="FF000000"/>
      </patternFill>
    </fill>
    <fill>
      <patternFill patternType="solid">
        <fgColor rgb="FF008C3C"/>
        <bgColor rgb="FF000000"/>
      </patternFill>
    </fill>
  </fills>
  <borders count="4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top/>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right/>
      <top/>
      <bottom style="thin">
        <color rgb="FF514541"/>
      </bottom>
      <diagonal/>
    </border>
    <border>
      <left/>
      <right/>
      <top style="thin">
        <color rgb="FF514541"/>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10">
    <xf numFmtId="0" fontId="0" fillId="0" borderId="0"/>
    <xf numFmtId="164" fontId="1" fillId="0" borderId="0" applyFont="0" applyFill="0" applyBorder="0" applyAlignment="0" applyProtection="0"/>
    <xf numFmtId="9" fontId="1" fillId="0" borderId="0" applyFont="0" applyFill="0" applyBorder="0" applyAlignment="0" applyProtection="0"/>
    <xf numFmtId="0" fontId="8" fillId="0" borderId="0" applyNumberFormat="0" applyFill="0" applyBorder="0" applyAlignment="0" applyProtection="0"/>
    <xf numFmtId="0" fontId="33" fillId="0" borderId="0" applyFill="0"/>
    <xf numFmtId="0" fontId="32" fillId="0" borderId="0"/>
    <xf numFmtId="173" fontId="32" fillId="0" borderId="0" applyFont="0" applyFill="0" applyBorder="0" applyAlignment="0" applyProtection="0"/>
    <xf numFmtId="0" fontId="29" fillId="0" borderId="0"/>
    <xf numFmtId="0" fontId="34" fillId="0" borderId="0"/>
    <xf numFmtId="0" fontId="35" fillId="0" borderId="0" applyNumberFormat="0" applyBorder="0" applyAlignment="0"/>
  </cellStyleXfs>
  <cellXfs count="455">
    <xf numFmtId="0" fontId="0" fillId="0" borderId="0" xfId="0"/>
    <xf numFmtId="0" fontId="6" fillId="2" borderId="0" xfId="0" applyFont="1" applyFill="1" applyAlignment="1">
      <alignment vertical="center"/>
    </xf>
    <xf numFmtId="0" fontId="0" fillId="3" borderId="0" xfId="0" applyFill="1"/>
    <xf numFmtId="0" fontId="4" fillId="4" borderId="1" xfId="0" applyFont="1" applyFill="1" applyBorder="1" applyAlignment="1">
      <alignment vertical="center"/>
    </xf>
    <xf numFmtId="0" fontId="0" fillId="4" borderId="2" xfId="0" applyFill="1" applyBorder="1"/>
    <xf numFmtId="0" fontId="0" fillId="4" borderId="3" xfId="0" applyFill="1" applyBorder="1"/>
    <xf numFmtId="0" fontId="0" fillId="3" borderId="5" xfId="0" applyFill="1" applyBorder="1" applyAlignment="1">
      <alignment vertical="top" wrapText="1"/>
    </xf>
    <xf numFmtId="0" fontId="4" fillId="3" borderId="5" xfId="0" applyFont="1" applyFill="1" applyBorder="1" applyAlignment="1">
      <alignment vertical="top" wrapText="1"/>
    </xf>
    <xf numFmtId="0" fontId="7" fillId="3" borderId="0" xfId="0" applyFont="1" applyFill="1" applyAlignment="1">
      <alignment horizontal="center" vertical="top"/>
    </xf>
    <xf numFmtId="0" fontId="0" fillId="3" borderId="4" xfId="0" applyFill="1" applyBorder="1" applyAlignment="1">
      <alignment horizontal="left" vertical="center" indent="1"/>
    </xf>
    <xf numFmtId="0" fontId="0" fillId="3" borderId="0" xfId="0" applyFill="1" applyAlignment="1">
      <alignment vertical="top" wrapText="1"/>
    </xf>
    <xf numFmtId="0" fontId="0" fillId="3" borderId="4" xfId="0" applyFill="1" applyBorder="1" applyAlignment="1">
      <alignment vertical="top" wrapText="1"/>
    </xf>
    <xf numFmtId="0" fontId="0" fillId="3" borderId="5" xfId="0" applyFill="1" applyBorder="1"/>
    <xf numFmtId="0" fontId="0" fillId="3" borderId="4" xfId="0" applyFill="1" applyBorder="1" applyAlignment="1">
      <alignment horizontal="left" vertical="center" wrapText="1"/>
    </xf>
    <xf numFmtId="0" fontId="0" fillId="3" borderId="0" xfId="0" applyFill="1" applyAlignment="1">
      <alignment horizontal="left" vertical="center" wrapText="1"/>
    </xf>
    <xf numFmtId="0" fontId="5" fillId="3" borderId="0" xfId="0" applyFont="1" applyFill="1" applyAlignment="1">
      <alignment horizontal="center" vertical="center"/>
    </xf>
    <xf numFmtId="0" fontId="4" fillId="3" borderId="4" xfId="0" applyFont="1" applyFill="1" applyBorder="1" applyAlignment="1">
      <alignment vertical="top"/>
    </xf>
    <xf numFmtId="0" fontId="0" fillId="3" borderId="6" xfId="0" applyFill="1" applyBorder="1"/>
    <xf numFmtId="0" fontId="0" fillId="3" borderId="7" xfId="0" applyFill="1" applyBorder="1"/>
    <xf numFmtId="0" fontId="0" fillId="3" borderId="8" xfId="0" applyFill="1" applyBorder="1"/>
    <xf numFmtId="0" fontId="0" fillId="3" borderId="0" xfId="0" applyFill="1" applyAlignment="1">
      <alignment vertical="center"/>
    </xf>
    <xf numFmtId="0" fontId="6" fillId="5" borderId="0" xfId="0" applyFont="1" applyFill="1" applyAlignment="1">
      <alignment vertical="center"/>
    </xf>
    <xf numFmtId="0" fontId="10" fillId="3" borderId="0" xfId="0" applyFont="1" applyFill="1" applyAlignment="1">
      <alignment horizontal="center" vertical="center"/>
    </xf>
    <xf numFmtId="0" fontId="5" fillId="5" borderId="0" xfId="0" applyFont="1" applyFill="1" applyAlignment="1">
      <alignment horizontal="center" vertical="center"/>
    </xf>
    <xf numFmtId="165" fontId="5" fillId="5" borderId="0" xfId="1" applyNumberFormat="1" applyFont="1" applyFill="1" applyBorder="1" applyAlignment="1" applyProtection="1">
      <alignment horizontal="center" vertical="center"/>
      <protection locked="0"/>
    </xf>
    <xf numFmtId="0" fontId="4" fillId="4" borderId="12" xfId="0" applyFont="1" applyFill="1" applyBorder="1" applyAlignment="1">
      <alignment horizontal="center" vertical="center"/>
    </xf>
    <xf numFmtId="0" fontId="0" fillId="7" borderId="0" xfId="0" applyFill="1"/>
    <xf numFmtId="0" fontId="4" fillId="4" borderId="9" xfId="0" applyFont="1" applyFill="1" applyBorder="1" applyAlignment="1">
      <alignment horizontal="center" vertical="center"/>
    </xf>
    <xf numFmtId="169" fontId="0" fillId="0" borderId="0" xfId="0" applyNumberFormat="1"/>
    <xf numFmtId="170" fontId="0" fillId="0" borderId="0" xfId="0" applyNumberFormat="1"/>
    <xf numFmtId="0" fontId="4" fillId="0" borderId="0" xfId="0" applyFont="1"/>
    <xf numFmtId="0" fontId="2" fillId="2" borderId="0" xfId="0" applyFont="1" applyFill="1" applyAlignment="1">
      <alignment horizontal="center" vertical="center"/>
    </xf>
    <xf numFmtId="0" fontId="0" fillId="4" borderId="0" xfId="0" applyFill="1"/>
    <xf numFmtId="0" fontId="5" fillId="2" borderId="0" xfId="0" applyFont="1" applyFill="1" applyAlignment="1">
      <alignment horizontal="center"/>
    </xf>
    <xf numFmtId="9" fontId="0" fillId="0" borderId="0" xfId="2" applyFont="1" applyFill="1"/>
    <xf numFmtId="0" fontId="5" fillId="2" borderId="0" xfId="0" applyFont="1" applyFill="1" applyAlignment="1">
      <alignment horizontal="center" vertical="center"/>
    </xf>
    <xf numFmtId="0" fontId="5" fillId="2" borderId="0" xfId="0" applyFont="1" applyFill="1" applyAlignment="1">
      <alignment horizontal="center" vertical="top" wrapText="1"/>
    </xf>
    <xf numFmtId="0" fontId="12" fillId="0" borderId="0" xfId="0" applyFont="1" applyAlignment="1">
      <alignment horizontal="left" vertical="center"/>
    </xf>
    <xf numFmtId="166" fontId="0" fillId="0" borderId="0" xfId="1" applyNumberFormat="1" applyFont="1" applyFill="1"/>
    <xf numFmtId="171" fontId="0" fillId="0" borderId="0" xfId="1" applyNumberFormat="1" applyFont="1" applyFill="1"/>
    <xf numFmtId="166" fontId="0" fillId="0" borderId="0" xfId="1" applyNumberFormat="1" applyFont="1" applyFill="1" applyBorder="1"/>
    <xf numFmtId="9" fontId="0" fillId="0" borderId="0" xfId="2" applyFont="1" applyFill="1" applyBorder="1"/>
    <xf numFmtId="164" fontId="0" fillId="0" borderId="0" xfId="1" applyFont="1" applyFill="1" applyBorder="1"/>
    <xf numFmtId="0" fontId="2" fillId="2" borderId="0" xfId="0" applyFont="1" applyFill="1"/>
    <xf numFmtId="165" fontId="0" fillId="0" borderId="0" xfId="1" applyNumberFormat="1" applyFont="1"/>
    <xf numFmtId="0" fontId="5" fillId="2" borderId="0" xfId="0" applyFont="1" applyFill="1"/>
    <xf numFmtId="0" fontId="0" fillId="4" borderId="0" xfId="0" applyFill="1" applyAlignment="1">
      <alignment horizontal="center"/>
    </xf>
    <xf numFmtId="166" fontId="0" fillId="4" borderId="0" xfId="1" applyNumberFormat="1" applyFont="1" applyFill="1"/>
    <xf numFmtId="0" fontId="21" fillId="14" borderId="0" xfId="0" applyFont="1" applyFill="1" applyAlignment="1">
      <alignment horizontal="center" vertical="center" wrapText="1"/>
    </xf>
    <xf numFmtId="2" fontId="4" fillId="4" borderId="0" xfId="0" applyNumberFormat="1" applyFont="1" applyFill="1"/>
    <xf numFmtId="0" fontId="4" fillId="4" borderId="0" xfId="0" applyFont="1" applyFill="1" applyAlignment="1">
      <alignment horizontal="center" vertical="center"/>
    </xf>
    <xf numFmtId="0" fontId="4" fillId="4" borderId="14" xfId="0" applyFont="1" applyFill="1" applyBorder="1" applyAlignment="1">
      <alignment horizontal="center" vertical="center"/>
    </xf>
    <xf numFmtId="0" fontId="22" fillId="4" borderId="0" xfId="0" applyFont="1" applyFill="1" applyAlignment="1">
      <alignment horizontal="center" vertical="center"/>
    </xf>
    <xf numFmtId="0" fontId="22" fillId="4" borderId="9" xfId="0" applyFont="1" applyFill="1" applyBorder="1" applyAlignment="1">
      <alignment horizontal="center" vertical="center"/>
    </xf>
    <xf numFmtId="0" fontId="22" fillId="4" borderId="19" xfId="0" applyFont="1" applyFill="1" applyBorder="1" applyAlignment="1">
      <alignment horizontal="center" vertical="center"/>
    </xf>
    <xf numFmtId="0" fontId="0" fillId="3" borderId="9" xfId="0" applyFill="1" applyBorder="1"/>
    <xf numFmtId="166" fontId="0" fillId="3" borderId="9" xfId="1" applyNumberFormat="1" applyFont="1" applyFill="1" applyBorder="1"/>
    <xf numFmtId="166" fontId="0" fillId="3" borderId="0" xfId="1" applyNumberFormat="1" applyFont="1" applyFill="1"/>
    <xf numFmtId="166" fontId="0" fillId="3" borderId="14" xfId="1" applyNumberFormat="1" applyFont="1" applyFill="1" applyBorder="1"/>
    <xf numFmtId="166" fontId="0" fillId="3" borderId="0" xfId="1" applyNumberFormat="1" applyFont="1" applyFill="1" applyBorder="1"/>
    <xf numFmtId="0" fontId="0" fillId="0" borderId="0" xfId="0" applyProtection="1">
      <protection hidden="1"/>
    </xf>
    <xf numFmtId="0" fontId="18" fillId="12" borderId="17" xfId="0" applyFont="1" applyFill="1" applyBorder="1" applyAlignment="1" applyProtection="1">
      <alignment horizontal="left"/>
      <protection hidden="1"/>
    </xf>
    <xf numFmtId="0" fontId="18" fillId="12" borderId="0" xfId="0" applyFont="1" applyFill="1" applyAlignment="1" applyProtection="1">
      <alignment horizontal="left"/>
      <protection hidden="1"/>
    </xf>
    <xf numFmtId="0" fontId="18" fillId="8" borderId="0" xfId="0" applyFont="1" applyFill="1" applyAlignment="1" applyProtection="1">
      <alignment horizontal="left"/>
      <protection hidden="1"/>
    </xf>
    <xf numFmtId="0" fontId="20" fillId="12" borderId="0" xfId="0" applyFont="1" applyFill="1" applyAlignment="1" applyProtection="1">
      <alignment horizontal="center"/>
      <protection hidden="1"/>
    </xf>
    <xf numFmtId="166" fontId="18" fillId="12" borderId="0" xfId="1" applyNumberFormat="1" applyFont="1" applyFill="1" applyAlignment="1" applyProtection="1">
      <alignment horizontal="right"/>
      <protection hidden="1"/>
    </xf>
    <xf numFmtId="164" fontId="18" fillId="12" borderId="15" xfId="1" applyFont="1" applyFill="1" applyBorder="1" applyAlignment="1" applyProtection="1">
      <alignment horizontal="right"/>
      <protection hidden="1"/>
    </xf>
    <xf numFmtId="169" fontId="0" fillId="0" borderId="0" xfId="0" applyNumberFormat="1" applyProtection="1">
      <protection hidden="1"/>
    </xf>
    <xf numFmtId="164" fontId="18" fillId="12" borderId="0" xfId="1" applyFont="1" applyFill="1" applyAlignment="1" applyProtection="1">
      <alignment horizontal="right"/>
      <protection hidden="1"/>
    </xf>
    <xf numFmtId="9" fontId="0" fillId="0" borderId="0" xfId="2" applyFont="1" applyProtection="1">
      <protection hidden="1"/>
    </xf>
    <xf numFmtId="164" fontId="18" fillId="12" borderId="0" xfId="1" applyFont="1" applyFill="1" applyBorder="1" applyAlignment="1" applyProtection="1">
      <alignment horizontal="right"/>
      <protection hidden="1"/>
    </xf>
    <xf numFmtId="0" fontId="19" fillId="0" borderId="0" xfId="0" applyFont="1" applyAlignment="1" applyProtection="1">
      <alignment horizontal="left"/>
      <protection hidden="1"/>
    </xf>
    <xf numFmtId="164" fontId="0" fillId="0" borderId="0" xfId="1" applyFont="1" applyProtection="1">
      <protection hidden="1"/>
    </xf>
    <xf numFmtId="0" fontId="18" fillId="12" borderId="21" xfId="0" applyFont="1" applyFill="1" applyBorder="1" applyAlignment="1" applyProtection="1">
      <alignment horizontal="left"/>
      <protection hidden="1"/>
    </xf>
    <xf numFmtId="166" fontId="18" fillId="12" borderId="0" xfId="1" applyNumberFormat="1" applyFont="1" applyFill="1" applyBorder="1" applyAlignment="1" applyProtection="1">
      <alignment horizontal="right"/>
      <protection hidden="1"/>
    </xf>
    <xf numFmtId="0" fontId="18" fillId="8" borderId="0" xfId="0" applyFont="1" applyFill="1" applyAlignment="1" applyProtection="1">
      <alignment horizontal="left" vertical="center" wrapText="1"/>
      <protection hidden="1"/>
    </xf>
    <xf numFmtId="0" fontId="18" fillId="3" borderId="0" xfId="0" applyFont="1" applyFill="1" applyAlignment="1" applyProtection="1">
      <alignment horizontal="left" vertical="center" wrapText="1"/>
      <protection hidden="1"/>
    </xf>
    <xf numFmtId="4" fontId="0" fillId="0" borderId="0" xfId="0" applyNumberFormat="1" applyProtection="1">
      <protection hidden="1"/>
    </xf>
    <xf numFmtId="164" fontId="0" fillId="0" borderId="0" xfId="0" applyNumberFormat="1" applyProtection="1">
      <protection hidden="1"/>
    </xf>
    <xf numFmtId="0" fontId="18" fillId="12" borderId="15" xfId="0" applyFont="1" applyFill="1" applyBorder="1" applyAlignment="1" applyProtection="1">
      <alignment horizontal="left"/>
      <protection hidden="1"/>
    </xf>
    <xf numFmtId="0" fontId="18" fillId="8" borderId="15" xfId="0" applyFont="1" applyFill="1" applyBorder="1" applyAlignment="1" applyProtection="1">
      <alignment horizontal="left"/>
      <protection hidden="1"/>
    </xf>
    <xf numFmtId="0" fontId="20" fillId="12" borderId="15" xfId="0" applyFont="1" applyFill="1" applyBorder="1" applyAlignment="1" applyProtection="1">
      <alignment horizontal="center"/>
      <protection hidden="1"/>
    </xf>
    <xf numFmtId="166" fontId="18" fillId="12" borderId="15" xfId="1" applyNumberFormat="1" applyFont="1" applyFill="1" applyBorder="1" applyAlignment="1" applyProtection="1">
      <alignment horizontal="right"/>
      <protection hidden="1"/>
    </xf>
    <xf numFmtId="0" fontId="18" fillId="11" borderId="0" xfId="0" applyFont="1" applyFill="1" applyAlignment="1" applyProtection="1">
      <alignment horizontal="left"/>
      <protection hidden="1"/>
    </xf>
    <xf numFmtId="164" fontId="20" fillId="12" borderId="0" xfId="1" applyFont="1" applyFill="1" applyAlignment="1" applyProtection="1">
      <alignment horizontal="center"/>
      <protection hidden="1"/>
    </xf>
    <xf numFmtId="0" fontId="18" fillId="12" borderId="16" xfId="0" applyFont="1" applyFill="1" applyBorder="1" applyAlignment="1" applyProtection="1">
      <alignment horizontal="left"/>
      <protection hidden="1"/>
    </xf>
    <xf numFmtId="0" fontId="18" fillId="11" borderId="15" xfId="0" applyFont="1" applyFill="1" applyBorder="1" applyAlignment="1" applyProtection="1">
      <alignment horizontal="left"/>
      <protection hidden="1"/>
    </xf>
    <xf numFmtId="0" fontId="18" fillId="12" borderId="14" xfId="0" applyFont="1" applyFill="1" applyBorder="1" applyAlignment="1" applyProtection="1">
      <alignment horizontal="left"/>
      <protection hidden="1"/>
    </xf>
    <xf numFmtId="0" fontId="18" fillId="12" borderId="18" xfId="0" applyFont="1" applyFill="1" applyBorder="1" applyAlignment="1" applyProtection="1">
      <alignment horizontal="left"/>
      <protection hidden="1"/>
    </xf>
    <xf numFmtId="0" fontId="18" fillId="8" borderId="17" xfId="0" applyFont="1" applyFill="1" applyBorder="1" applyAlignment="1" applyProtection="1">
      <alignment horizontal="left"/>
      <protection hidden="1"/>
    </xf>
    <xf numFmtId="0" fontId="18" fillId="11" borderId="17" xfId="0" applyFont="1" applyFill="1" applyBorder="1" applyAlignment="1" applyProtection="1">
      <alignment horizontal="left"/>
      <protection hidden="1"/>
    </xf>
    <xf numFmtId="0" fontId="20" fillId="12" borderId="17" xfId="0" applyFont="1" applyFill="1" applyBorder="1" applyAlignment="1" applyProtection="1">
      <alignment horizontal="center"/>
      <protection hidden="1"/>
    </xf>
    <xf numFmtId="166" fontId="18" fillId="12" borderId="17" xfId="1" applyNumberFormat="1" applyFont="1" applyFill="1" applyBorder="1" applyAlignment="1" applyProtection="1">
      <alignment horizontal="right"/>
      <protection hidden="1"/>
    </xf>
    <xf numFmtId="164" fontId="18" fillId="12" borderId="17" xfId="1" applyFont="1" applyFill="1" applyBorder="1" applyAlignment="1" applyProtection="1">
      <alignment horizontal="right"/>
      <protection hidden="1"/>
    </xf>
    <xf numFmtId="172" fontId="0" fillId="0" borderId="0" xfId="0" applyNumberFormat="1" applyProtection="1">
      <protection hidden="1"/>
    </xf>
    <xf numFmtId="0" fontId="2" fillId="5" borderId="19" xfId="0" applyFont="1" applyFill="1" applyBorder="1" applyAlignment="1">
      <alignment horizontal="center" vertical="center"/>
    </xf>
    <xf numFmtId="171" fontId="18" fillId="12" borderId="0" xfId="1" applyNumberFormat="1" applyFont="1" applyFill="1" applyBorder="1" applyAlignment="1" applyProtection="1">
      <alignment horizontal="right"/>
      <protection hidden="1"/>
    </xf>
    <xf numFmtId="0" fontId="0" fillId="7" borderId="5" xfId="0" applyFill="1" applyBorder="1" applyAlignment="1">
      <alignment vertical="center"/>
    </xf>
    <xf numFmtId="166" fontId="1" fillId="3" borderId="9" xfId="1" applyNumberFormat="1" applyFont="1" applyFill="1" applyBorder="1"/>
    <xf numFmtId="0" fontId="18" fillId="8" borderId="0" xfId="0" applyFont="1" applyFill="1" applyAlignment="1" applyProtection="1">
      <alignment horizontal="left" vertical="center"/>
      <protection hidden="1"/>
    </xf>
    <xf numFmtId="0" fontId="20" fillId="12" borderId="0" xfId="0" applyFont="1" applyFill="1" applyAlignment="1" applyProtection="1">
      <alignment horizontal="center" vertical="center"/>
      <protection hidden="1"/>
    </xf>
    <xf numFmtId="0" fontId="18" fillId="8" borderId="15" xfId="0" applyFont="1" applyFill="1" applyBorder="1" applyAlignment="1" applyProtection="1">
      <alignment horizontal="left" vertical="center"/>
      <protection hidden="1"/>
    </xf>
    <xf numFmtId="0" fontId="20" fillId="12" borderId="15" xfId="0" applyFont="1" applyFill="1" applyBorder="1" applyAlignment="1" applyProtection="1">
      <alignment horizontal="center" vertical="center"/>
      <protection hidden="1"/>
    </xf>
    <xf numFmtId="164" fontId="18" fillId="12" borderId="15" xfId="1" applyFont="1" applyFill="1" applyBorder="1" applyAlignment="1" applyProtection="1">
      <alignment horizontal="right" vertical="center"/>
      <protection hidden="1"/>
    </xf>
    <xf numFmtId="9" fontId="0" fillId="13" borderId="0" xfId="2" applyFont="1" applyFill="1"/>
    <xf numFmtId="0" fontId="0" fillId="13" borderId="0" xfId="0" applyFill="1"/>
    <xf numFmtId="166" fontId="2" fillId="5" borderId="9" xfId="1" applyNumberFormat="1" applyFont="1" applyFill="1" applyBorder="1" applyAlignment="1">
      <alignment horizontal="center"/>
    </xf>
    <xf numFmtId="165" fontId="18" fillId="12" borderId="0" xfId="1" applyNumberFormat="1" applyFont="1" applyFill="1" applyAlignment="1" applyProtection="1">
      <alignment horizontal="right"/>
      <protection hidden="1"/>
    </xf>
    <xf numFmtId="165" fontId="18" fillId="12" borderId="0" xfId="1" applyNumberFormat="1" applyFont="1" applyFill="1" applyBorder="1" applyAlignment="1" applyProtection="1">
      <alignment horizontal="right"/>
      <protection hidden="1"/>
    </xf>
    <xf numFmtId="164" fontId="27" fillId="15" borderId="0" xfId="1" applyFont="1" applyFill="1" applyBorder="1" applyAlignment="1" applyProtection="1">
      <alignment horizontal="right" vertical="center"/>
      <protection hidden="1"/>
    </xf>
    <xf numFmtId="0" fontId="27" fillId="5" borderId="0" xfId="0" applyFont="1" applyFill="1" applyAlignment="1" applyProtection="1">
      <alignment vertical="center"/>
      <protection hidden="1"/>
    </xf>
    <xf numFmtId="0" fontId="14" fillId="0" borderId="0" xfId="0" applyFont="1"/>
    <xf numFmtId="171" fontId="18" fillId="12" borderId="17" xfId="1" applyNumberFormat="1" applyFont="1" applyFill="1" applyBorder="1" applyAlignment="1" applyProtection="1">
      <alignment horizontal="right"/>
      <protection hidden="1"/>
    </xf>
    <xf numFmtId="164" fontId="0" fillId="0" borderId="0" xfId="1" applyFont="1"/>
    <xf numFmtId="164" fontId="4" fillId="0" borderId="0" xfId="0" applyNumberFormat="1" applyFont="1"/>
    <xf numFmtId="165" fontId="4" fillId="0" borderId="0" xfId="0" applyNumberFormat="1" applyFont="1"/>
    <xf numFmtId="9" fontId="4" fillId="0" borderId="0" xfId="2" applyFont="1" applyFill="1"/>
    <xf numFmtId="0" fontId="6" fillId="5" borderId="0" xfId="0" applyFont="1" applyFill="1" applyAlignment="1" applyProtection="1">
      <alignment vertical="center"/>
      <protection hidden="1"/>
    </xf>
    <xf numFmtId="0" fontId="0" fillId="3" borderId="0" xfId="0" applyFill="1" applyProtection="1">
      <protection hidden="1"/>
    </xf>
    <xf numFmtId="0" fontId="2" fillId="5" borderId="0" xfId="0" applyFont="1" applyFill="1" applyAlignment="1" applyProtection="1">
      <alignment horizontal="center"/>
      <protection hidden="1"/>
    </xf>
    <xf numFmtId="0" fontId="17" fillId="9" borderId="0" xfId="0" applyFont="1" applyFill="1" applyAlignment="1" applyProtection="1">
      <alignment horizontal="center"/>
      <protection hidden="1"/>
    </xf>
    <xf numFmtId="0" fontId="2" fillId="10" borderId="0" xfId="0" applyFont="1" applyFill="1" applyAlignment="1" applyProtection="1">
      <alignment horizontal="center"/>
      <protection hidden="1"/>
    </xf>
    <xf numFmtId="166" fontId="4" fillId="7" borderId="9" xfId="0" applyNumberFormat="1" applyFont="1" applyFill="1" applyBorder="1" applyAlignment="1" applyProtection="1">
      <alignment horizontal="right" vertical="top" wrapText="1" indent="1"/>
      <protection hidden="1"/>
    </xf>
    <xf numFmtId="0" fontId="0" fillId="3" borderId="4" xfId="0" applyFill="1" applyBorder="1" applyProtection="1">
      <protection hidden="1"/>
    </xf>
    <xf numFmtId="0" fontId="0" fillId="3" borderId="0" xfId="0" applyFill="1" applyAlignment="1" applyProtection="1">
      <alignment horizontal="center" vertical="center"/>
      <protection hidden="1"/>
    </xf>
    <xf numFmtId="0" fontId="0" fillId="3" borderId="5" xfId="0" applyFill="1" applyBorder="1" applyProtection="1">
      <protection hidden="1"/>
    </xf>
    <xf numFmtId="166" fontId="0" fillId="3" borderId="9" xfId="0" applyNumberFormat="1" applyFill="1" applyBorder="1" applyAlignment="1" applyProtection="1">
      <alignment horizontal="right" vertical="top" wrapText="1"/>
      <protection hidden="1"/>
    </xf>
    <xf numFmtId="0" fontId="0" fillId="7" borderId="0" xfId="0" applyFill="1" applyProtection="1">
      <protection hidden="1"/>
    </xf>
    <xf numFmtId="0" fontId="0" fillId="7" borderId="5" xfId="0" applyFill="1" applyBorder="1" applyProtection="1">
      <protection hidden="1"/>
    </xf>
    <xf numFmtId="166" fontId="0" fillId="3" borderId="0" xfId="1" applyNumberFormat="1" applyFont="1" applyFill="1" applyBorder="1" applyProtection="1">
      <protection hidden="1"/>
    </xf>
    <xf numFmtId="9" fontId="0" fillId="3" borderId="0" xfId="2" applyFont="1" applyFill="1" applyBorder="1" applyAlignment="1" applyProtection="1">
      <alignment horizontal="right" vertical="center"/>
      <protection hidden="1"/>
    </xf>
    <xf numFmtId="0" fontId="4" fillId="7" borderId="4" xfId="0" applyFont="1" applyFill="1" applyBorder="1" applyAlignment="1" applyProtection="1">
      <alignment vertical="center"/>
      <protection hidden="1"/>
    </xf>
    <xf numFmtId="166" fontId="4" fillId="7" borderId="0" xfId="1" applyNumberFormat="1" applyFont="1" applyFill="1" applyBorder="1" applyAlignment="1" applyProtection="1">
      <alignment horizontal="center" vertical="center"/>
      <protection hidden="1"/>
    </xf>
    <xf numFmtId="9" fontId="4" fillId="7" borderId="0" xfId="2" applyFont="1" applyFill="1" applyBorder="1" applyAlignment="1" applyProtection="1">
      <alignment horizontal="right" vertical="center"/>
      <protection hidden="1"/>
    </xf>
    <xf numFmtId="0" fontId="0" fillId="3" borderId="6" xfId="0" applyFill="1" applyBorder="1" applyProtection="1">
      <protection hidden="1"/>
    </xf>
    <xf numFmtId="0" fontId="0" fillId="3" borderId="7" xfId="0" applyFill="1" applyBorder="1" applyProtection="1">
      <protection hidden="1"/>
    </xf>
    <xf numFmtId="0" fontId="0" fillId="3" borderId="8" xfId="0" applyFill="1" applyBorder="1" applyProtection="1">
      <protection hidden="1"/>
    </xf>
    <xf numFmtId="0" fontId="4" fillId="7" borderId="5" xfId="0" applyFont="1" applyFill="1" applyBorder="1" applyAlignment="1" applyProtection="1">
      <alignment horizontal="center" vertical="center"/>
      <protection hidden="1"/>
    </xf>
    <xf numFmtId="9" fontId="0" fillId="3" borderId="0" xfId="2" applyFont="1" applyFill="1" applyBorder="1" applyProtection="1">
      <protection hidden="1"/>
    </xf>
    <xf numFmtId="0" fontId="4" fillId="4" borderId="11" xfId="0" applyFont="1" applyFill="1" applyBorder="1" applyAlignment="1">
      <alignment horizontal="center" vertical="center" wrapText="1"/>
    </xf>
    <xf numFmtId="0" fontId="4" fillId="3" borderId="0" xfId="0" applyFont="1" applyFill="1" applyAlignment="1">
      <alignment horizontal="center" vertical="center"/>
    </xf>
    <xf numFmtId="0" fontId="4" fillId="4" borderId="19" xfId="0" applyFont="1" applyFill="1" applyBorder="1" applyAlignment="1">
      <alignment horizontal="center" vertical="center"/>
    </xf>
    <xf numFmtId="0" fontId="2" fillId="5" borderId="9" xfId="0" applyFont="1" applyFill="1" applyBorder="1" applyAlignment="1">
      <alignment horizontal="center"/>
    </xf>
    <xf numFmtId="164" fontId="18" fillId="12" borderId="0" xfId="1" applyFont="1" applyFill="1" applyBorder="1" applyAlignment="1" applyProtection="1">
      <alignment horizontal="right" vertical="center"/>
      <protection hidden="1"/>
    </xf>
    <xf numFmtId="166" fontId="15" fillId="5" borderId="0" xfId="1" applyNumberFormat="1" applyFont="1" applyFill="1" applyBorder="1" applyProtection="1">
      <protection locked="0"/>
    </xf>
    <xf numFmtId="0" fontId="0" fillId="7" borderId="0" xfId="0" applyFill="1" applyAlignment="1">
      <alignment vertical="center"/>
    </xf>
    <xf numFmtId="0" fontId="4" fillId="4" borderId="10" xfId="0" applyFont="1" applyFill="1" applyBorder="1" applyAlignment="1">
      <alignment horizontal="center" vertical="center"/>
    </xf>
    <xf numFmtId="0" fontId="4" fillId="4" borderId="11" xfId="0" applyFont="1" applyFill="1" applyBorder="1" applyAlignment="1">
      <alignment horizontal="center" vertical="center"/>
    </xf>
    <xf numFmtId="0" fontId="32" fillId="0" borderId="0" xfId="5"/>
    <xf numFmtId="0" fontId="2" fillId="5" borderId="0" xfId="0" applyFont="1" applyFill="1" applyAlignment="1">
      <alignment horizontal="center"/>
    </xf>
    <xf numFmtId="0" fontId="31" fillId="0" borderId="0" xfId="0" applyFont="1"/>
    <xf numFmtId="166" fontId="4" fillId="7" borderId="9" xfId="0" applyNumberFormat="1" applyFont="1" applyFill="1" applyBorder="1" applyAlignment="1" applyProtection="1">
      <alignment horizontal="right" vertical="center" wrapText="1"/>
      <protection hidden="1"/>
    </xf>
    <xf numFmtId="166" fontId="0" fillId="3" borderId="9" xfId="0" applyNumberFormat="1" applyFill="1" applyBorder="1" applyAlignment="1" applyProtection="1">
      <alignment horizontal="right" vertical="center" wrapText="1"/>
      <protection hidden="1"/>
    </xf>
    <xf numFmtId="168" fontId="4" fillId="7" borderId="9" xfId="0" applyNumberFormat="1" applyFont="1" applyFill="1" applyBorder="1" applyAlignment="1" applyProtection="1">
      <alignment horizontal="right" vertical="center" wrapText="1"/>
      <protection hidden="1"/>
    </xf>
    <xf numFmtId="168" fontId="0" fillId="3" borderId="9" xfId="0" applyNumberFormat="1" applyFill="1" applyBorder="1" applyAlignment="1" applyProtection="1">
      <alignment horizontal="right" vertical="center" wrapText="1"/>
      <protection hidden="1"/>
    </xf>
    <xf numFmtId="166" fontId="2" fillId="5" borderId="9" xfId="0" applyNumberFormat="1" applyFont="1" applyFill="1" applyBorder="1" applyAlignment="1" applyProtection="1">
      <alignment horizontal="right" vertical="center"/>
      <protection hidden="1"/>
    </xf>
    <xf numFmtId="166" fontId="2" fillId="9" borderId="9" xfId="0" applyNumberFormat="1" applyFont="1" applyFill="1" applyBorder="1" applyAlignment="1" applyProtection="1">
      <alignment horizontal="right" vertical="center"/>
      <protection hidden="1"/>
    </xf>
    <xf numFmtId="166" fontId="2" fillId="10" borderId="9" xfId="0" applyNumberFormat="1" applyFont="1" applyFill="1" applyBorder="1" applyAlignment="1" applyProtection="1">
      <alignment horizontal="right" vertical="center"/>
      <protection hidden="1"/>
    </xf>
    <xf numFmtId="168" fontId="0" fillId="3" borderId="0" xfId="1" applyNumberFormat="1" applyFont="1" applyFill="1" applyBorder="1" applyProtection="1">
      <protection hidden="1"/>
    </xf>
    <xf numFmtId="165" fontId="0" fillId="3" borderId="0" xfId="1" applyNumberFormat="1" applyFont="1" applyFill="1" applyBorder="1" applyProtection="1">
      <protection hidden="1"/>
    </xf>
    <xf numFmtId="165" fontId="4" fillId="7" borderId="0" xfId="1" applyNumberFormat="1" applyFont="1" applyFill="1" applyBorder="1" applyAlignment="1" applyProtection="1">
      <alignment horizontal="center" vertical="center"/>
      <protection hidden="1"/>
    </xf>
    <xf numFmtId="166" fontId="30" fillId="3" borderId="0" xfId="1" applyNumberFormat="1" applyFont="1" applyFill="1" applyBorder="1" applyAlignment="1" applyProtection="1">
      <alignment horizontal="center" vertical="center"/>
    </xf>
    <xf numFmtId="0" fontId="4" fillId="4" borderId="23" xfId="0" applyFont="1" applyFill="1" applyBorder="1" applyAlignment="1" applyProtection="1">
      <alignment horizontal="center" vertical="center"/>
      <protection hidden="1"/>
    </xf>
    <xf numFmtId="0" fontId="4" fillId="4" borderId="22" xfId="0" applyFont="1" applyFill="1" applyBorder="1" applyAlignment="1" applyProtection="1">
      <alignment horizontal="center" vertical="center" wrapText="1"/>
      <protection hidden="1"/>
    </xf>
    <xf numFmtId="0" fontId="4" fillId="4" borderId="15" xfId="0" applyFont="1" applyFill="1" applyBorder="1" applyAlignment="1" applyProtection="1">
      <alignment horizontal="center" vertical="center" wrapText="1"/>
      <protection hidden="1"/>
    </xf>
    <xf numFmtId="0" fontId="4" fillId="4" borderId="19" xfId="0" applyFont="1" applyFill="1" applyBorder="1" applyAlignment="1" applyProtection="1">
      <alignment vertical="center"/>
      <protection hidden="1"/>
    </xf>
    <xf numFmtId="165" fontId="4" fillId="7" borderId="9" xfId="1" applyNumberFormat="1" applyFont="1" applyFill="1" applyBorder="1" applyAlignment="1" applyProtection="1">
      <alignment horizontal="right" vertical="center" wrapText="1"/>
      <protection hidden="1"/>
    </xf>
    <xf numFmtId="0" fontId="0" fillId="4" borderId="19" xfId="0" applyFill="1" applyBorder="1" applyAlignment="1" applyProtection="1">
      <alignment horizontal="left" vertical="center" indent="1"/>
      <protection hidden="1"/>
    </xf>
    <xf numFmtId="9" fontId="1" fillId="3" borderId="0" xfId="2" applyFont="1" applyFill="1" applyBorder="1" applyAlignment="1" applyProtection="1">
      <alignment horizontal="right" vertical="center"/>
      <protection hidden="1"/>
    </xf>
    <xf numFmtId="165" fontId="0" fillId="3" borderId="9" xfId="1" applyNumberFormat="1" applyFont="1" applyFill="1" applyBorder="1" applyAlignment="1" applyProtection="1">
      <alignment horizontal="right" vertical="center" wrapText="1"/>
      <protection hidden="1"/>
    </xf>
    <xf numFmtId="165" fontId="4" fillId="7" borderId="9" xfId="0" applyNumberFormat="1" applyFont="1" applyFill="1" applyBorder="1" applyAlignment="1" applyProtection="1">
      <alignment horizontal="right" vertical="center" wrapText="1"/>
      <protection hidden="1"/>
    </xf>
    <xf numFmtId="165" fontId="0" fillId="3" borderId="9" xfId="0" applyNumberFormat="1" applyFill="1" applyBorder="1" applyAlignment="1" applyProtection="1">
      <alignment horizontal="right" vertical="center" wrapText="1"/>
      <protection hidden="1"/>
    </xf>
    <xf numFmtId="174" fontId="0" fillId="3" borderId="9" xfId="0" applyNumberFormat="1" applyFill="1" applyBorder="1" applyAlignment="1" applyProtection="1">
      <alignment horizontal="right" vertical="center" wrapText="1"/>
      <protection hidden="1"/>
    </xf>
    <xf numFmtId="9" fontId="2" fillId="5" borderId="0" xfId="2" applyFont="1" applyFill="1" applyBorder="1" applyAlignment="1" applyProtection="1">
      <alignment horizontal="right" vertical="center"/>
      <protection hidden="1"/>
    </xf>
    <xf numFmtId="165" fontId="2" fillId="5" borderId="9" xfId="0" applyNumberFormat="1" applyFont="1" applyFill="1" applyBorder="1" applyAlignment="1" applyProtection="1">
      <alignment horizontal="right" vertical="center"/>
      <protection hidden="1"/>
    </xf>
    <xf numFmtId="0" fontId="7" fillId="4" borderId="24" xfId="0" applyFont="1" applyFill="1" applyBorder="1" applyAlignment="1" applyProtection="1">
      <alignment horizontal="left" vertical="center" indent="1"/>
      <protection hidden="1"/>
    </xf>
    <xf numFmtId="166" fontId="7" fillId="3" borderId="25" xfId="0" applyNumberFormat="1" applyFont="1" applyFill="1" applyBorder="1" applyAlignment="1" applyProtection="1">
      <alignment horizontal="right" vertical="center" wrapText="1"/>
      <protection hidden="1"/>
    </xf>
    <xf numFmtId="9" fontId="7" fillId="3" borderId="17" xfId="2" applyFont="1" applyFill="1" applyBorder="1" applyAlignment="1" applyProtection="1">
      <alignment horizontal="right" vertical="center"/>
      <protection hidden="1"/>
    </xf>
    <xf numFmtId="165" fontId="7" fillId="3" borderId="25" xfId="0" applyNumberFormat="1" applyFont="1" applyFill="1" applyBorder="1" applyAlignment="1" applyProtection="1">
      <alignment horizontal="right" vertical="center" wrapText="1"/>
      <protection hidden="1"/>
    </xf>
    <xf numFmtId="0" fontId="36" fillId="2" borderId="0" xfId="0" applyFont="1" applyFill="1" applyAlignment="1">
      <alignment vertical="center"/>
    </xf>
    <xf numFmtId="0" fontId="0" fillId="0" borderId="0" xfId="0" applyAlignment="1">
      <alignment vertical="center"/>
    </xf>
    <xf numFmtId="0" fontId="4" fillId="3" borderId="29" xfId="0" applyFont="1" applyFill="1" applyBorder="1" applyAlignment="1">
      <alignment horizontal="center" vertical="center" wrapText="1"/>
    </xf>
    <xf numFmtId="0" fontId="0" fillId="3" borderId="30" xfId="0" applyFill="1" applyBorder="1" applyAlignment="1">
      <alignment vertical="center"/>
    </xf>
    <xf numFmtId="0" fontId="0" fillId="3" borderId="30" xfId="0" applyFill="1" applyBorder="1" applyAlignment="1">
      <alignment vertical="center" wrapText="1"/>
    </xf>
    <xf numFmtId="0" fontId="0" fillId="3" borderId="30" xfId="0" quotePrefix="1" applyFill="1" applyBorder="1" applyAlignment="1">
      <alignment horizontal="center" vertical="center"/>
    </xf>
    <xf numFmtId="0" fontId="0" fillId="3" borderId="31" xfId="0" applyFill="1" applyBorder="1" applyAlignment="1">
      <alignment vertical="center"/>
    </xf>
    <xf numFmtId="0" fontId="0" fillId="7" borderId="30" xfId="0" applyFill="1" applyBorder="1" applyAlignment="1">
      <alignment vertical="center" wrapText="1"/>
    </xf>
    <xf numFmtId="0" fontId="0" fillId="7" borderId="30" xfId="0" applyFill="1" applyBorder="1" applyAlignment="1">
      <alignment vertical="center"/>
    </xf>
    <xf numFmtId="0" fontId="0" fillId="7" borderId="30" xfId="0" quotePrefix="1" applyFill="1" applyBorder="1" applyAlignment="1">
      <alignment horizontal="center" vertical="center"/>
    </xf>
    <xf numFmtId="0" fontId="0" fillId="7" borderId="31" xfId="0" applyFill="1" applyBorder="1" applyAlignment="1">
      <alignment vertical="center"/>
    </xf>
    <xf numFmtId="0" fontId="0" fillId="7" borderId="30" xfId="0" applyFill="1" applyBorder="1" applyAlignment="1">
      <alignment horizontal="center" vertical="center"/>
    </xf>
    <xf numFmtId="0" fontId="0" fillId="7" borderId="35" xfId="0" applyFill="1" applyBorder="1" applyAlignment="1">
      <alignment vertical="center" wrapText="1"/>
    </xf>
    <xf numFmtId="0" fontId="0" fillId="0" borderId="30" xfId="0" applyBorder="1" applyAlignment="1">
      <alignment horizontal="justify" vertical="center"/>
    </xf>
    <xf numFmtId="0" fontId="0" fillId="7" borderId="17" xfId="0" applyFill="1" applyBorder="1" applyAlignment="1">
      <alignment vertical="center" wrapText="1"/>
    </xf>
    <xf numFmtId="0" fontId="0" fillId="7" borderId="17" xfId="0" applyFill="1" applyBorder="1" applyAlignment="1">
      <alignment vertical="center"/>
    </xf>
    <xf numFmtId="0" fontId="0" fillId="7" borderId="17" xfId="0" quotePrefix="1" applyFill="1" applyBorder="1" applyAlignment="1">
      <alignment horizontal="center" vertical="center"/>
    </xf>
    <xf numFmtId="0" fontId="0" fillId="7" borderId="36" xfId="0" applyFill="1" applyBorder="1" applyAlignment="1">
      <alignment vertical="center"/>
    </xf>
    <xf numFmtId="0" fontId="0" fillId="3" borderId="35" xfId="0" applyFill="1" applyBorder="1" applyAlignment="1">
      <alignment vertical="center" wrapText="1"/>
    </xf>
    <xf numFmtId="0" fontId="28" fillId="3" borderId="30" xfId="0" applyFont="1" applyFill="1" applyBorder="1" applyAlignment="1">
      <alignment vertical="center" wrapText="1"/>
    </xf>
    <xf numFmtId="0" fontId="12" fillId="7" borderId="18" xfId="0" applyFont="1" applyFill="1" applyBorder="1" applyAlignment="1">
      <alignment horizontal="left" vertical="center" wrapText="1"/>
    </xf>
    <xf numFmtId="0" fontId="0" fillId="7" borderId="17" xfId="0" applyFill="1" applyBorder="1" applyAlignment="1">
      <alignment horizontal="center" vertical="center"/>
    </xf>
    <xf numFmtId="0" fontId="12" fillId="7" borderId="35" xfId="0" applyFont="1" applyFill="1" applyBorder="1" applyAlignment="1">
      <alignment horizontal="left" vertical="center" wrapText="1"/>
    </xf>
    <xf numFmtId="0" fontId="0" fillId="3" borderId="31" xfId="0" applyFill="1" applyBorder="1" applyAlignment="1">
      <alignment vertical="top"/>
    </xf>
    <xf numFmtId="0" fontId="0" fillId="3" borderId="30" xfId="0" applyFill="1" applyBorder="1" applyAlignment="1">
      <alignment horizontal="justify" vertical="center"/>
    </xf>
    <xf numFmtId="0" fontId="0" fillId="3" borderId="30" xfId="0" applyFill="1" applyBorder="1" applyAlignment="1">
      <alignment horizontal="center" vertical="center"/>
    </xf>
    <xf numFmtId="0" fontId="0" fillId="7" borderId="4" xfId="0" applyFill="1" applyBorder="1" applyAlignment="1">
      <alignment vertical="center"/>
    </xf>
    <xf numFmtId="0" fontId="4" fillId="7" borderId="0" xfId="0" applyFont="1" applyFill="1" applyAlignment="1">
      <alignment vertical="center"/>
    </xf>
    <xf numFmtId="166" fontId="0" fillId="7" borderId="0" xfId="1" applyNumberFormat="1" applyFont="1" applyFill="1" applyAlignment="1" applyProtection="1">
      <alignment vertical="center"/>
    </xf>
    <xf numFmtId="166" fontId="4" fillId="7" borderId="0" xfId="0" applyNumberFormat="1" applyFont="1" applyFill="1" applyAlignment="1">
      <alignment vertical="center"/>
    </xf>
    <xf numFmtId="0" fontId="0" fillId="4" borderId="2" xfId="0" applyFill="1" applyBorder="1" applyAlignment="1">
      <alignment vertical="center"/>
    </xf>
    <xf numFmtId="0" fontId="0" fillId="4" borderId="3" xfId="0" applyFill="1" applyBorder="1" applyAlignment="1">
      <alignment vertical="center"/>
    </xf>
    <xf numFmtId="0" fontId="5" fillId="3" borderId="4" xfId="0" applyFont="1" applyFill="1" applyBorder="1" applyAlignment="1">
      <alignment vertical="center"/>
    </xf>
    <xf numFmtId="0" fontId="2" fillId="3" borderId="0" xfId="0" applyFont="1" applyFill="1" applyAlignment="1">
      <alignment vertical="center"/>
    </xf>
    <xf numFmtId="0" fontId="5" fillId="3" borderId="0" xfId="0" applyFont="1" applyFill="1" applyAlignment="1">
      <alignment vertical="center"/>
    </xf>
    <xf numFmtId="0" fontId="5" fillId="3" borderId="5" xfId="0" applyFont="1" applyFill="1" applyBorder="1" applyAlignment="1">
      <alignment vertical="center"/>
    </xf>
    <xf numFmtId="0" fontId="0" fillId="3" borderId="4" xfId="0" applyFill="1" applyBorder="1" applyAlignment="1">
      <alignment vertical="center"/>
    </xf>
    <xf numFmtId="0" fontId="4" fillId="3" borderId="0" xfId="0" applyFont="1" applyFill="1" applyAlignment="1">
      <alignment vertical="center"/>
    </xf>
    <xf numFmtId="166" fontId="4" fillId="3" borderId="0" xfId="0" applyNumberFormat="1" applyFont="1" applyFill="1" applyAlignment="1">
      <alignment vertical="center"/>
    </xf>
    <xf numFmtId="0" fontId="0" fillId="3" borderId="5" xfId="0" applyFill="1" applyBorder="1" applyAlignment="1">
      <alignment vertical="center"/>
    </xf>
    <xf numFmtId="165" fontId="15" fillId="5" borderId="0" xfId="1" applyNumberFormat="1" applyFont="1" applyFill="1" applyBorder="1" applyAlignment="1" applyProtection="1">
      <alignment vertical="center"/>
      <protection locked="0"/>
    </xf>
    <xf numFmtId="166" fontId="0" fillId="3" borderId="0" xfId="1" applyNumberFormat="1" applyFont="1" applyFill="1" applyBorder="1" applyAlignment="1" applyProtection="1">
      <alignment horizontal="left" vertical="center"/>
    </xf>
    <xf numFmtId="0" fontId="12" fillId="8" borderId="0" xfId="0" applyFont="1" applyFill="1" applyAlignment="1">
      <alignment vertical="center"/>
    </xf>
    <xf numFmtId="0" fontId="30" fillId="3" borderId="0" xfId="0" applyFont="1" applyFill="1" applyAlignment="1">
      <alignment vertical="center"/>
    </xf>
    <xf numFmtId="166" fontId="4" fillId="3" borderId="0" xfId="1" applyNumberFormat="1" applyFont="1" applyFill="1" applyBorder="1" applyAlignment="1" applyProtection="1">
      <alignment horizontal="left" vertical="center"/>
    </xf>
    <xf numFmtId="0" fontId="4" fillId="3" borderId="4" xfId="0" applyFont="1" applyFill="1" applyBorder="1" applyAlignment="1">
      <alignment vertical="center"/>
    </xf>
    <xf numFmtId="165" fontId="7" fillId="3" borderId="0" xfId="1" applyNumberFormat="1" applyFont="1" applyFill="1" applyBorder="1" applyAlignment="1" applyProtection="1">
      <alignment vertical="center"/>
    </xf>
    <xf numFmtId="165" fontId="7" fillId="7" borderId="0" xfId="1" applyNumberFormat="1" applyFont="1" applyFill="1" applyBorder="1" applyAlignment="1" applyProtection="1">
      <alignment vertical="center"/>
    </xf>
    <xf numFmtId="0" fontId="4" fillId="3" borderId="6" xfId="0" applyFont="1" applyFill="1" applyBorder="1" applyAlignment="1">
      <alignment vertical="center"/>
    </xf>
    <xf numFmtId="0" fontId="0" fillId="3" borderId="7" xfId="0" applyFill="1" applyBorder="1" applyAlignment="1">
      <alignment vertical="center"/>
    </xf>
    <xf numFmtId="165" fontId="7" fillId="3" borderId="7" xfId="1" applyNumberFormat="1" applyFont="1" applyFill="1" applyBorder="1" applyAlignment="1" applyProtection="1">
      <alignment vertical="center"/>
    </xf>
    <xf numFmtId="0" fontId="0" fillId="3" borderId="8" xfId="0" applyFill="1" applyBorder="1" applyAlignment="1">
      <alignment vertical="center"/>
    </xf>
    <xf numFmtId="166" fontId="4" fillId="7" borderId="0" xfId="1" applyNumberFormat="1" applyFont="1" applyFill="1" applyAlignment="1" applyProtection="1">
      <alignment vertical="center"/>
    </xf>
    <xf numFmtId="166" fontId="10" fillId="3" borderId="0" xfId="1" applyNumberFormat="1" applyFont="1" applyFill="1" applyBorder="1" applyAlignment="1" applyProtection="1">
      <alignment vertical="center"/>
    </xf>
    <xf numFmtId="165" fontId="5" fillId="3" borderId="0" xfId="1" applyNumberFormat="1" applyFont="1" applyFill="1" applyBorder="1" applyAlignment="1" applyProtection="1">
      <alignment horizontal="center" vertical="center"/>
    </xf>
    <xf numFmtId="0" fontId="7" fillId="3" borderId="0" xfId="0" applyFont="1" applyFill="1" applyAlignment="1">
      <alignment vertical="center"/>
    </xf>
    <xf numFmtId="0" fontId="0" fillId="3" borderId="6" xfId="0" applyFill="1" applyBorder="1" applyAlignment="1">
      <alignment vertical="center"/>
    </xf>
    <xf numFmtId="9" fontId="5" fillId="5" borderId="0" xfId="2" applyFont="1" applyFill="1" applyBorder="1" applyAlignment="1" applyProtection="1">
      <alignment horizontal="right" vertical="center"/>
      <protection locked="0"/>
    </xf>
    <xf numFmtId="9" fontId="5" fillId="3" borderId="0" xfId="2" applyFont="1" applyFill="1" applyBorder="1" applyAlignment="1" applyProtection="1">
      <alignment horizontal="right" vertical="center"/>
    </xf>
    <xf numFmtId="166" fontId="5" fillId="3" borderId="0" xfId="1" applyNumberFormat="1" applyFont="1" applyFill="1" applyBorder="1" applyAlignment="1" applyProtection="1">
      <alignment horizontal="right" vertical="center"/>
    </xf>
    <xf numFmtId="0" fontId="12" fillId="11" borderId="0" xfId="0" applyFont="1" applyFill="1" applyAlignment="1">
      <alignment vertical="center"/>
    </xf>
    <xf numFmtId="0" fontId="4" fillId="7" borderId="4" xfId="0" applyFont="1" applyFill="1" applyBorder="1" applyAlignment="1">
      <alignment vertical="center"/>
    </xf>
    <xf numFmtId="166" fontId="5" fillId="5" borderId="0" xfId="1" applyNumberFormat="1" applyFont="1" applyFill="1" applyBorder="1" applyAlignment="1" applyProtection="1">
      <alignment horizontal="center" vertical="center"/>
      <protection locked="0"/>
    </xf>
    <xf numFmtId="0" fontId="0" fillId="3" borderId="0" xfId="0" applyFill="1" applyAlignment="1">
      <alignment horizontal="left" vertical="center"/>
    </xf>
    <xf numFmtId="0" fontId="15" fillId="5" borderId="0" xfId="0" applyFont="1" applyFill="1" applyAlignment="1" applyProtection="1">
      <alignment vertical="center"/>
      <protection locked="0"/>
    </xf>
    <xf numFmtId="0" fontId="0" fillId="3" borderId="0" xfId="0" applyFill="1" applyAlignment="1" applyProtection="1">
      <alignment vertical="center"/>
      <protection locked="0"/>
    </xf>
    <xf numFmtId="0" fontId="15" fillId="3" borderId="0" xfId="0" applyFont="1" applyFill="1" applyAlignment="1" applyProtection="1">
      <alignment vertical="center"/>
      <protection locked="0"/>
    </xf>
    <xf numFmtId="0" fontId="0" fillId="7" borderId="0" xfId="0" applyFill="1" applyAlignment="1" applyProtection="1">
      <alignment vertical="center"/>
      <protection locked="0"/>
    </xf>
    <xf numFmtId="0" fontId="4" fillId="3" borderId="0" xfId="0" applyFont="1" applyFill="1" applyAlignment="1" applyProtection="1">
      <alignment vertical="center"/>
      <protection hidden="1"/>
    </xf>
    <xf numFmtId="166" fontId="4" fillId="3" borderId="0" xfId="1" applyNumberFormat="1" applyFont="1" applyFill="1" applyBorder="1" applyAlignment="1" applyProtection="1">
      <alignment horizontal="center" vertical="center"/>
      <protection hidden="1"/>
    </xf>
    <xf numFmtId="9" fontId="4" fillId="3" borderId="0" xfId="2" applyFont="1" applyFill="1" applyBorder="1" applyAlignment="1" applyProtection="1">
      <alignment horizontal="right" vertical="center"/>
      <protection hidden="1"/>
    </xf>
    <xf numFmtId="167" fontId="4" fillId="7" borderId="0" xfId="2" applyNumberFormat="1" applyFont="1" applyFill="1" applyBorder="1" applyAlignment="1" applyProtection="1">
      <alignment horizontal="right" indent="1"/>
      <protection hidden="1"/>
    </xf>
    <xf numFmtId="165" fontId="4" fillId="7" borderId="9" xfId="0" applyNumberFormat="1" applyFont="1" applyFill="1" applyBorder="1" applyAlignment="1" applyProtection="1">
      <alignment horizontal="right" vertical="top" wrapText="1" indent="1"/>
      <protection hidden="1"/>
    </xf>
    <xf numFmtId="167" fontId="1" fillId="3" borderId="0" xfId="2" applyNumberFormat="1" applyFont="1" applyFill="1" applyBorder="1" applyAlignment="1" applyProtection="1">
      <alignment horizontal="right"/>
      <protection hidden="1"/>
    </xf>
    <xf numFmtId="165" fontId="0" fillId="3" borderId="9" xfId="0" applyNumberFormat="1" applyFill="1" applyBorder="1" applyAlignment="1" applyProtection="1">
      <alignment horizontal="right" vertical="top" wrapText="1"/>
      <protection hidden="1"/>
    </xf>
    <xf numFmtId="166" fontId="2" fillId="5" borderId="25" xfId="0" applyNumberFormat="1" applyFont="1" applyFill="1" applyBorder="1" applyAlignment="1" applyProtection="1">
      <alignment horizontal="right"/>
      <protection hidden="1"/>
    </xf>
    <xf numFmtId="167" fontId="2" fillId="5" borderId="17" xfId="2" applyNumberFormat="1" applyFont="1" applyFill="1" applyBorder="1" applyAlignment="1" applyProtection="1">
      <alignment horizontal="right"/>
      <protection hidden="1"/>
    </xf>
    <xf numFmtId="165" fontId="2" fillId="5" borderId="25" xfId="0" applyNumberFormat="1" applyFont="1" applyFill="1" applyBorder="1" applyAlignment="1" applyProtection="1">
      <alignment horizontal="right"/>
      <protection hidden="1"/>
    </xf>
    <xf numFmtId="0" fontId="4" fillId="3" borderId="4" xfId="0" applyFont="1" applyFill="1" applyBorder="1" applyAlignment="1">
      <alignment horizontal="left" vertical="top" wrapText="1"/>
    </xf>
    <xf numFmtId="0" fontId="4" fillId="3" borderId="0" xfId="0" applyFont="1" applyFill="1" applyAlignment="1">
      <alignment horizontal="left" vertical="top" wrapText="1"/>
    </xf>
    <xf numFmtId="0" fontId="4" fillId="7" borderId="0" xfId="0" applyFont="1" applyFill="1" applyAlignment="1" applyProtection="1">
      <alignment horizontal="center" vertical="center"/>
      <protection hidden="1"/>
    </xf>
    <xf numFmtId="0" fontId="4" fillId="3" borderId="0" xfId="0" applyFont="1" applyFill="1" applyAlignment="1" applyProtection="1">
      <alignment horizontal="center" vertical="center"/>
      <protection hidden="1"/>
    </xf>
    <xf numFmtId="0" fontId="5" fillId="5" borderId="0" xfId="0" applyFont="1" applyFill="1" applyAlignment="1" applyProtection="1">
      <alignment horizontal="center"/>
      <protection hidden="1"/>
    </xf>
    <xf numFmtId="0" fontId="5" fillId="9" borderId="0" xfId="0" applyFont="1" applyFill="1" applyAlignment="1" applyProtection="1">
      <alignment horizontal="center"/>
      <protection hidden="1"/>
    </xf>
    <xf numFmtId="0" fontId="5" fillId="10" borderId="0" xfId="0" applyFont="1" applyFill="1" applyAlignment="1" applyProtection="1">
      <alignment horizontal="center"/>
      <protection hidden="1"/>
    </xf>
    <xf numFmtId="0" fontId="0" fillId="6" borderId="23" xfId="0" applyFill="1" applyBorder="1" applyAlignment="1" applyProtection="1">
      <alignment horizontal="center" vertical="center"/>
      <protection hidden="1"/>
    </xf>
    <xf numFmtId="0" fontId="0" fillId="6" borderId="15" xfId="0" applyFill="1" applyBorder="1" applyAlignment="1" applyProtection="1">
      <alignment horizontal="center" vertical="center" wrapText="1"/>
      <protection hidden="1"/>
    </xf>
    <xf numFmtId="0" fontId="0" fillId="6" borderId="22" xfId="0" applyFill="1" applyBorder="1" applyAlignment="1" applyProtection="1">
      <alignment horizontal="center" vertical="center" wrapText="1"/>
      <protection hidden="1"/>
    </xf>
    <xf numFmtId="0" fontId="4" fillId="4" borderId="19" xfId="0" applyFont="1" applyFill="1" applyBorder="1" applyProtection="1">
      <protection hidden="1"/>
    </xf>
    <xf numFmtId="0" fontId="4" fillId="4" borderId="19" xfId="0" applyFont="1" applyFill="1" applyBorder="1" applyAlignment="1" applyProtection="1">
      <alignment horizontal="left" indent="1"/>
      <protection hidden="1"/>
    </xf>
    <xf numFmtId="0" fontId="0" fillId="4" borderId="19" xfId="0" applyFill="1" applyBorder="1" applyAlignment="1" applyProtection="1">
      <alignment horizontal="left" indent="1"/>
      <protection hidden="1"/>
    </xf>
    <xf numFmtId="0" fontId="4" fillId="6" borderId="24" xfId="0" applyFont="1" applyFill="1" applyBorder="1" applyProtection="1">
      <protection hidden="1"/>
    </xf>
    <xf numFmtId="0" fontId="0" fillId="3" borderId="4" xfId="0" applyFill="1" applyBorder="1"/>
    <xf numFmtId="166" fontId="0" fillId="3" borderId="0" xfId="0" applyNumberFormat="1" applyFill="1" applyProtection="1">
      <protection hidden="1"/>
    </xf>
    <xf numFmtId="169" fontId="0" fillId="3" borderId="0" xfId="0" applyNumberFormat="1" applyFill="1" applyProtection="1">
      <protection hidden="1"/>
    </xf>
    <xf numFmtId="9" fontId="0" fillId="3" borderId="0" xfId="2" applyFont="1" applyFill="1" applyProtection="1">
      <protection hidden="1"/>
    </xf>
    <xf numFmtId="164" fontId="0" fillId="3" borderId="0" xfId="0" applyNumberFormat="1" applyFill="1" applyProtection="1">
      <protection hidden="1"/>
    </xf>
    <xf numFmtId="0" fontId="24" fillId="3" borderId="0" xfId="0" applyFont="1" applyFill="1" applyAlignment="1" applyProtection="1">
      <alignment horizontal="left" wrapText="1"/>
      <protection hidden="1"/>
    </xf>
    <xf numFmtId="0" fontId="18" fillId="3" borderId="0" xfId="0" applyFont="1" applyFill="1" applyAlignment="1" applyProtection="1">
      <alignment horizontal="left" vertical="center"/>
      <protection hidden="1"/>
    </xf>
    <xf numFmtId="0" fontId="19" fillId="3" borderId="0" xfId="0" applyFont="1" applyFill="1" applyAlignment="1" applyProtection="1">
      <alignment horizontal="left"/>
      <protection hidden="1"/>
    </xf>
    <xf numFmtId="0" fontId="30" fillId="3" borderId="0" xfId="0" applyFont="1" applyFill="1" applyAlignment="1" applyProtection="1">
      <alignment vertical="center"/>
      <protection locked="0"/>
    </xf>
    <xf numFmtId="0" fontId="0" fillId="3" borderId="4" xfId="0" applyFill="1" applyBorder="1" applyAlignment="1" applyProtection="1">
      <alignment horizontal="left" vertical="top"/>
      <protection hidden="1"/>
    </xf>
    <xf numFmtId="0" fontId="4" fillId="4" borderId="1" xfId="0" applyFont="1" applyFill="1" applyBorder="1"/>
    <xf numFmtId="0" fontId="0" fillId="4" borderId="2" xfId="0" applyFill="1" applyBorder="1" applyAlignment="1">
      <alignment horizontal="center"/>
    </xf>
    <xf numFmtId="0" fontId="4" fillId="7" borderId="4" xfId="0" applyFont="1" applyFill="1" applyBorder="1"/>
    <xf numFmtId="0" fontId="4" fillId="7" borderId="0" xfId="0" applyFont="1" applyFill="1"/>
    <xf numFmtId="0" fontId="25" fillId="7" borderId="0" xfId="0" applyFont="1" applyFill="1"/>
    <xf numFmtId="166" fontId="4" fillId="7" borderId="0" xfId="0" applyNumberFormat="1" applyFont="1" applyFill="1" applyAlignment="1">
      <alignment horizontal="center"/>
    </xf>
    <xf numFmtId="166" fontId="4" fillId="7" borderId="0" xfId="0" applyNumberFormat="1" applyFont="1" applyFill="1"/>
    <xf numFmtId="0" fontId="0" fillId="7" borderId="5" xfId="0" applyFill="1" applyBorder="1"/>
    <xf numFmtId="0" fontId="0" fillId="3" borderId="0" xfId="0" applyFill="1" applyAlignment="1">
      <alignment horizontal="left" vertical="top"/>
    </xf>
    <xf numFmtId="0" fontId="5" fillId="3" borderId="0" xfId="0" applyFont="1" applyFill="1"/>
    <xf numFmtId="166" fontId="0" fillId="3" borderId="0" xfId="1" applyNumberFormat="1" applyFont="1" applyFill="1" applyBorder="1" applyAlignment="1" applyProtection="1">
      <alignment horizontal="center"/>
    </xf>
    <xf numFmtId="166" fontId="0" fillId="3" borderId="0" xfId="1" applyNumberFormat="1" applyFont="1" applyFill="1" applyBorder="1" applyAlignment="1" applyProtection="1">
      <alignment horizontal="left" vertical="top"/>
    </xf>
    <xf numFmtId="0" fontId="12" fillId="8" borderId="0" xfId="0" applyFont="1" applyFill="1"/>
    <xf numFmtId="166" fontId="0" fillId="3" borderId="0" xfId="1" applyNumberFormat="1" applyFont="1" applyFill="1" applyBorder="1" applyProtection="1"/>
    <xf numFmtId="166" fontId="4" fillId="7" borderId="0" xfId="1" applyNumberFormat="1" applyFont="1" applyFill="1" applyAlignment="1" applyProtection="1">
      <alignment horizontal="center"/>
    </xf>
    <xf numFmtId="0" fontId="5" fillId="3" borderId="0" xfId="0" applyFont="1" applyFill="1" applyAlignment="1">
      <alignment horizontal="left" vertical="top"/>
    </xf>
    <xf numFmtId="166" fontId="30" fillId="3" borderId="0" xfId="1" applyNumberFormat="1" applyFont="1" applyFill="1" applyBorder="1" applyAlignment="1" applyProtection="1">
      <alignment horizontal="center"/>
    </xf>
    <xf numFmtId="0" fontId="4" fillId="3" borderId="0" xfId="0" applyFont="1" applyFill="1"/>
    <xf numFmtId="0" fontId="4" fillId="3" borderId="4" xfId="0" applyFont="1" applyFill="1" applyBorder="1"/>
    <xf numFmtId="164" fontId="7" fillId="3" borderId="0" xfId="1" applyFont="1" applyFill="1" applyBorder="1" applyAlignment="1" applyProtection="1">
      <alignment horizontal="center"/>
    </xf>
    <xf numFmtId="164" fontId="7" fillId="7" borderId="0" xfId="1" applyFont="1" applyFill="1" applyAlignment="1" applyProtection="1">
      <alignment horizontal="center"/>
    </xf>
    <xf numFmtId="164" fontId="7" fillId="3" borderId="0" xfId="1" applyFont="1" applyFill="1" applyAlignment="1" applyProtection="1">
      <alignment horizontal="center"/>
    </xf>
    <xf numFmtId="0" fontId="0" fillId="7" borderId="4" xfId="0" applyFill="1" applyBorder="1"/>
    <xf numFmtId="166" fontId="7" fillId="7" borderId="0" xfId="1" applyNumberFormat="1" applyFont="1" applyFill="1" applyBorder="1" applyAlignment="1" applyProtection="1">
      <alignment horizontal="center"/>
    </xf>
    <xf numFmtId="166" fontId="4" fillId="7" borderId="0" xfId="1" applyNumberFormat="1" applyFont="1" applyFill="1" applyProtection="1"/>
    <xf numFmtId="166" fontId="7" fillId="3" borderId="0" xfId="1" applyNumberFormat="1" applyFont="1" applyFill="1" applyBorder="1" applyAlignment="1" applyProtection="1">
      <alignment horizontal="center" vertical="center"/>
    </xf>
    <xf numFmtId="0" fontId="4" fillId="4" borderId="13" xfId="0" applyFont="1" applyFill="1" applyBorder="1"/>
    <xf numFmtId="166" fontId="0" fillId="7" borderId="0" xfId="1" applyNumberFormat="1" applyFont="1" applyFill="1" applyBorder="1" applyAlignment="1" applyProtection="1">
      <alignment horizontal="center"/>
    </xf>
    <xf numFmtId="166" fontId="4" fillId="3" borderId="0" xfId="1" applyNumberFormat="1" applyFont="1" applyFill="1" applyBorder="1" applyAlignment="1" applyProtection="1">
      <alignment horizontal="center"/>
    </xf>
    <xf numFmtId="166" fontId="1" fillId="7" borderId="0" xfId="1" applyNumberFormat="1" applyFont="1" applyFill="1" applyBorder="1" applyAlignment="1" applyProtection="1">
      <alignment horizontal="center"/>
    </xf>
    <xf numFmtId="0" fontId="3" fillId="7" borderId="4" xfId="0" applyFont="1" applyFill="1" applyBorder="1"/>
    <xf numFmtId="0" fontId="7" fillId="7" borderId="0" xfId="0" applyFont="1" applyFill="1" applyAlignment="1">
      <alignment horizontal="center"/>
    </xf>
    <xf numFmtId="0" fontId="3" fillId="3" borderId="4" xfId="0" applyFont="1" applyFill="1" applyBorder="1"/>
    <xf numFmtId="0" fontId="12" fillId="3" borderId="0" xfId="0" applyFont="1" applyFill="1" applyAlignment="1">
      <alignment horizontal="left" vertical="center"/>
    </xf>
    <xf numFmtId="164" fontId="0" fillId="3" borderId="0" xfId="1" applyFont="1" applyFill="1" applyBorder="1" applyAlignment="1" applyProtection="1">
      <alignment horizontal="center"/>
    </xf>
    <xf numFmtId="166" fontId="12" fillId="3" borderId="0" xfId="1" applyNumberFormat="1" applyFont="1" applyFill="1" applyBorder="1" applyAlignment="1" applyProtection="1">
      <alignment horizontal="left" vertical="center"/>
    </xf>
    <xf numFmtId="166" fontId="1" fillId="3" borderId="0" xfId="1" applyNumberFormat="1" applyFont="1" applyFill="1" applyBorder="1" applyAlignment="1" applyProtection="1">
      <alignment horizontal="left" vertical="center"/>
    </xf>
    <xf numFmtId="166" fontId="1" fillId="7" borderId="0" xfId="1" applyNumberFormat="1" applyFont="1" applyFill="1" applyBorder="1" applyAlignment="1" applyProtection="1"/>
    <xf numFmtId="166" fontId="0" fillId="7" borderId="0" xfId="1" applyNumberFormat="1" applyFont="1" applyFill="1" applyBorder="1" applyAlignment="1" applyProtection="1">
      <alignment vertical="top"/>
    </xf>
    <xf numFmtId="0" fontId="12" fillId="7" borderId="0" xfId="0" applyFont="1" applyFill="1" applyAlignment="1">
      <alignment horizontal="left" vertical="center"/>
    </xf>
    <xf numFmtId="166" fontId="1" fillId="7" borderId="0" xfId="1" applyNumberFormat="1" applyFont="1" applyFill="1" applyBorder="1" applyAlignment="1" applyProtection="1">
      <alignment horizontal="left" vertical="center"/>
    </xf>
    <xf numFmtId="0" fontId="3" fillId="3" borderId="6" xfId="0" applyFont="1" applyFill="1" applyBorder="1"/>
    <xf numFmtId="0" fontId="12" fillId="3" borderId="7" xfId="0" applyFont="1" applyFill="1" applyBorder="1" applyAlignment="1">
      <alignment horizontal="left" vertical="center"/>
    </xf>
    <xf numFmtId="164" fontId="0" fillId="3" borderId="7" xfId="1" applyFont="1" applyFill="1" applyBorder="1" applyAlignment="1" applyProtection="1">
      <alignment horizontal="center"/>
    </xf>
    <xf numFmtId="166" fontId="12" fillId="3" borderId="7" xfId="1" applyNumberFormat="1" applyFont="1" applyFill="1" applyBorder="1" applyAlignment="1" applyProtection="1">
      <alignment horizontal="left" vertical="center"/>
    </xf>
    <xf numFmtId="166" fontId="5" fillId="5" borderId="0" xfId="1" applyNumberFormat="1" applyFont="1" applyFill="1" applyBorder="1" applyAlignment="1" applyProtection="1">
      <alignment horizontal="center"/>
      <protection locked="0"/>
    </xf>
    <xf numFmtId="0" fontId="30" fillId="3" borderId="0" xfId="0" applyFont="1" applyFill="1" applyProtection="1">
      <protection locked="0"/>
    </xf>
    <xf numFmtId="0" fontId="15" fillId="5" borderId="0" xfId="0" applyFont="1" applyFill="1" applyProtection="1">
      <protection locked="0"/>
    </xf>
    <xf numFmtId="0" fontId="5" fillId="8" borderId="0" xfId="0" applyFont="1" applyFill="1"/>
    <xf numFmtId="0" fontId="6" fillId="3" borderId="0" xfId="0" applyFont="1" applyFill="1" applyAlignment="1">
      <alignment vertical="center"/>
    </xf>
    <xf numFmtId="0" fontId="7" fillId="3" borderId="4" xfId="0" applyFont="1" applyFill="1" applyBorder="1"/>
    <xf numFmtId="0" fontId="0" fillId="3" borderId="0" xfId="0" applyFill="1" applyAlignment="1">
      <alignment horizontal="right" vertical="center"/>
    </xf>
    <xf numFmtId="166" fontId="7" fillId="3" borderId="0" xfId="1" applyNumberFormat="1" applyFont="1" applyFill="1" applyBorder="1" applyAlignment="1" applyProtection="1">
      <alignment horizontal="center" vertical="center" wrapText="1"/>
    </xf>
    <xf numFmtId="0" fontId="0" fillId="3" borderId="0" xfId="0" applyFill="1" applyAlignment="1">
      <alignment horizontal="center" vertical="center"/>
    </xf>
    <xf numFmtId="166" fontId="0" fillId="3" borderId="0" xfId="0" applyNumberFormat="1" applyFill="1" applyAlignment="1">
      <alignment horizontal="center" vertical="center"/>
    </xf>
    <xf numFmtId="0" fontId="7" fillId="3" borderId="4" xfId="0" applyFont="1" applyFill="1" applyBorder="1" applyAlignment="1">
      <alignment vertical="top" wrapText="1"/>
    </xf>
    <xf numFmtId="0" fontId="7" fillId="3" borderId="4" xfId="0" applyFont="1" applyFill="1" applyBorder="1" applyAlignment="1">
      <alignment vertical="center"/>
    </xf>
    <xf numFmtId="0" fontId="11" fillId="3" borderId="0" xfId="3" quotePrefix="1" applyFont="1" applyFill="1" applyProtection="1"/>
    <xf numFmtId="0" fontId="9" fillId="3" borderId="0" xfId="3" quotePrefix="1" applyFont="1" applyFill="1" applyProtection="1"/>
    <xf numFmtId="0" fontId="11" fillId="3" borderId="0" xfId="3" quotePrefix="1" applyFont="1" applyFill="1" applyBorder="1" applyProtection="1"/>
    <xf numFmtId="0" fontId="9" fillId="3" borderId="0" xfId="3" quotePrefix="1" applyFont="1" applyFill="1" applyBorder="1" applyProtection="1"/>
    <xf numFmtId="166" fontId="5" fillId="5" borderId="0" xfId="0" applyNumberFormat="1" applyFont="1" applyFill="1" applyAlignment="1" applyProtection="1">
      <alignment horizontal="center" vertical="center"/>
      <protection locked="0"/>
    </xf>
    <xf numFmtId="0" fontId="4" fillId="3" borderId="0" xfId="0" applyFont="1" applyFill="1" applyAlignment="1">
      <alignment horizontal="left" vertical="center"/>
    </xf>
    <xf numFmtId="0" fontId="0" fillId="7" borderId="0" xfId="0" applyFill="1" applyAlignment="1">
      <alignment vertical="center" wrapText="1"/>
    </xf>
    <xf numFmtId="0" fontId="0" fillId="7" borderId="0" xfId="0" applyFill="1" applyAlignment="1">
      <alignment horizontal="center" vertical="center"/>
    </xf>
    <xf numFmtId="0" fontId="4" fillId="3" borderId="37" xfId="0" applyFont="1" applyFill="1" applyBorder="1" applyAlignment="1">
      <alignment horizontal="center" vertical="center" wrapText="1"/>
    </xf>
    <xf numFmtId="0" fontId="0" fillId="3" borderId="38" xfId="0" applyFill="1" applyBorder="1" applyAlignment="1">
      <alignment vertical="center" wrapText="1"/>
    </xf>
    <xf numFmtId="0" fontId="0" fillId="3" borderId="38" xfId="0" applyFill="1" applyBorder="1" applyAlignment="1">
      <alignment vertical="center"/>
    </xf>
    <xf numFmtId="0" fontId="0" fillId="3" borderId="38" xfId="0" applyFill="1" applyBorder="1" applyAlignment="1">
      <alignment horizontal="center" vertical="center"/>
    </xf>
    <xf numFmtId="0" fontId="0" fillId="3" borderId="39" xfId="0" applyFill="1" applyBorder="1" applyAlignment="1">
      <alignment vertical="center"/>
    </xf>
    <xf numFmtId="0" fontId="0" fillId="3" borderId="30" xfId="0" applyFill="1" applyBorder="1" applyAlignment="1">
      <alignment horizontal="left" vertical="center" wrapText="1"/>
    </xf>
    <xf numFmtId="0" fontId="0" fillId="0" borderId="4" xfId="0" applyBorder="1"/>
    <xf numFmtId="0" fontId="0" fillId="0" borderId="5" xfId="0" applyBorder="1"/>
    <xf numFmtId="0" fontId="0" fillId="3" borderId="38" xfId="0" applyFill="1" applyBorder="1" applyAlignment="1">
      <alignment horizontal="justify" vertical="center"/>
    </xf>
    <xf numFmtId="0" fontId="0" fillId="3" borderId="38" xfId="0" quotePrefix="1" applyFill="1" applyBorder="1" applyAlignment="1">
      <alignment horizontal="center" vertical="center"/>
    </xf>
    <xf numFmtId="0" fontId="0" fillId="3" borderId="39" xfId="0" applyFill="1" applyBorder="1" applyAlignment="1">
      <alignment vertical="top"/>
    </xf>
    <xf numFmtId="0" fontId="36" fillId="5" borderId="0" xfId="0" applyFont="1" applyFill="1" applyAlignment="1">
      <alignment vertical="center"/>
    </xf>
    <xf numFmtId="0" fontId="6" fillId="5" borderId="0" xfId="0" applyFont="1" applyFill="1" applyAlignment="1">
      <alignment horizontal="center" vertical="center"/>
    </xf>
    <xf numFmtId="165" fontId="1" fillId="7" borderId="0" xfId="1" applyNumberFormat="1" applyFont="1" applyFill="1" applyBorder="1" applyAlignment="1" applyProtection="1">
      <alignment horizontal="center"/>
    </xf>
    <xf numFmtId="0" fontId="5" fillId="3" borderId="0" xfId="0" applyFont="1" applyFill="1" applyProtection="1">
      <protection hidden="1"/>
    </xf>
    <xf numFmtId="165" fontId="5" fillId="3" borderId="0" xfId="0" applyNumberFormat="1" applyFont="1" applyFill="1" applyProtection="1">
      <protection hidden="1"/>
    </xf>
    <xf numFmtId="16" fontId="0" fillId="3" borderId="0" xfId="0" applyNumberFormat="1" applyFill="1"/>
    <xf numFmtId="0" fontId="4" fillId="4" borderId="2" xfId="0" applyFont="1" applyFill="1" applyBorder="1"/>
    <xf numFmtId="0" fontId="0" fillId="3" borderId="0" xfId="0" applyFill="1" applyAlignment="1">
      <alignment wrapText="1"/>
    </xf>
    <xf numFmtId="0" fontId="4" fillId="7" borderId="0" xfId="0" applyFont="1" applyFill="1" applyAlignment="1">
      <alignment vertical="center" wrapText="1"/>
    </xf>
    <xf numFmtId="0" fontId="30" fillId="3" borderId="0" xfId="0" applyFont="1" applyFill="1" applyAlignment="1">
      <alignment horizontal="center" vertical="center"/>
    </xf>
    <xf numFmtId="0" fontId="4" fillId="4" borderId="2" xfId="0" applyFont="1" applyFill="1" applyBorder="1" applyAlignment="1">
      <alignment vertical="center"/>
    </xf>
    <xf numFmtId="0" fontId="4" fillId="4" borderId="2" xfId="0" applyFont="1" applyFill="1" applyBorder="1" applyAlignment="1">
      <alignment vertical="center" wrapText="1"/>
    </xf>
    <xf numFmtId="166" fontId="4" fillId="3" borderId="0" xfId="1" applyNumberFormat="1" applyFont="1" applyFill="1" applyBorder="1" applyAlignment="1" applyProtection="1">
      <alignment horizontal="right" vertical="center" wrapText="1"/>
    </xf>
    <xf numFmtId="166" fontId="7" fillId="3" borderId="0" xfId="1" applyNumberFormat="1" applyFont="1" applyFill="1" applyBorder="1" applyAlignment="1" applyProtection="1">
      <alignment horizontal="right" vertical="center" wrapText="1"/>
    </xf>
    <xf numFmtId="1" fontId="7" fillId="3" borderId="0" xfId="1" applyNumberFormat="1" applyFont="1" applyFill="1" applyBorder="1" applyAlignment="1" applyProtection="1">
      <alignment horizontal="right" vertical="center" wrapText="1"/>
    </xf>
    <xf numFmtId="166" fontId="0" fillId="7" borderId="0" xfId="0" applyNumberFormat="1" applyFill="1" applyAlignment="1">
      <alignment horizontal="center"/>
    </xf>
    <xf numFmtId="166" fontId="1" fillId="3" borderId="0" xfId="1" applyNumberFormat="1" applyFont="1" applyFill="1" applyBorder="1" applyAlignment="1" applyProtection="1">
      <alignment horizontal="center" vertical="center"/>
    </xf>
    <xf numFmtId="165" fontId="5" fillId="3" borderId="0" xfId="0" applyNumberFormat="1" applyFont="1" applyFill="1" applyAlignment="1" applyProtection="1">
      <alignment horizontal="right" vertical="center"/>
      <protection hidden="1"/>
    </xf>
    <xf numFmtId="0" fontId="11" fillId="3" borderId="4" xfId="3" applyFont="1" applyFill="1" applyBorder="1" applyAlignment="1" applyProtection="1">
      <alignment horizontal="left" vertical="top" wrapText="1"/>
    </xf>
    <xf numFmtId="0" fontId="37" fillId="3" borderId="9" xfId="0" applyFont="1" applyFill="1" applyBorder="1"/>
    <xf numFmtId="166" fontId="37" fillId="3" borderId="9" xfId="1" applyNumberFormat="1" applyFont="1" applyFill="1" applyBorder="1"/>
    <xf numFmtId="166" fontId="37" fillId="3" borderId="0" xfId="1" applyNumberFormat="1" applyFont="1" applyFill="1" applyBorder="1"/>
    <xf numFmtId="166" fontId="37" fillId="3" borderId="14" xfId="1" applyNumberFormat="1" applyFont="1" applyFill="1" applyBorder="1"/>
    <xf numFmtId="166" fontId="37" fillId="3" borderId="0" xfId="1" applyNumberFormat="1" applyFont="1" applyFill="1"/>
    <xf numFmtId="0" fontId="37" fillId="0" borderId="0" xfId="0" applyFont="1"/>
    <xf numFmtId="2" fontId="18" fillId="12" borderId="0" xfId="1" applyNumberFormat="1" applyFont="1" applyFill="1" applyBorder="1" applyAlignment="1" applyProtection="1">
      <alignment horizontal="right"/>
      <protection hidden="1"/>
    </xf>
    <xf numFmtId="2" fontId="18" fillId="12" borderId="15" xfId="1" applyNumberFormat="1" applyFont="1" applyFill="1" applyBorder="1" applyAlignment="1" applyProtection="1">
      <alignment horizontal="right"/>
      <protection hidden="1"/>
    </xf>
    <xf numFmtId="2" fontId="18" fillId="12" borderId="0" xfId="1" applyNumberFormat="1" applyFont="1" applyFill="1" applyAlignment="1" applyProtection="1">
      <alignment horizontal="right"/>
      <protection hidden="1"/>
    </xf>
    <xf numFmtId="2" fontId="18" fillId="12" borderId="15" xfId="1" applyNumberFormat="1" applyFont="1" applyFill="1" applyBorder="1" applyAlignment="1" applyProtection="1">
      <alignment horizontal="right" vertical="center"/>
      <protection hidden="1"/>
    </xf>
    <xf numFmtId="2" fontId="18" fillId="12" borderId="0" xfId="1" applyNumberFormat="1" applyFont="1" applyFill="1" applyBorder="1" applyAlignment="1" applyProtection="1">
      <alignment horizontal="right" vertical="center"/>
      <protection hidden="1"/>
    </xf>
    <xf numFmtId="170" fontId="18" fillId="12" borderId="0" xfId="1" applyNumberFormat="1" applyFont="1" applyFill="1" applyBorder="1" applyAlignment="1" applyProtection="1">
      <alignment horizontal="right"/>
      <protection hidden="1"/>
    </xf>
    <xf numFmtId="170" fontId="18" fillId="12" borderId="15" xfId="1" applyNumberFormat="1" applyFont="1" applyFill="1" applyBorder="1" applyAlignment="1" applyProtection="1">
      <alignment horizontal="right"/>
      <protection hidden="1"/>
    </xf>
    <xf numFmtId="1" fontId="18" fillId="12" borderId="0" xfId="1" applyNumberFormat="1" applyFont="1" applyFill="1" applyBorder="1" applyAlignment="1" applyProtection="1">
      <alignment horizontal="right"/>
      <protection hidden="1"/>
    </xf>
    <xf numFmtId="1" fontId="18" fillId="12" borderId="15" xfId="1" applyNumberFormat="1" applyFont="1" applyFill="1" applyBorder="1" applyAlignment="1" applyProtection="1">
      <alignment horizontal="right"/>
      <protection hidden="1"/>
    </xf>
    <xf numFmtId="1" fontId="18" fillId="12" borderId="0" xfId="1" applyNumberFormat="1" applyFont="1" applyFill="1" applyAlignment="1" applyProtection="1">
      <alignment horizontal="right"/>
      <protection hidden="1"/>
    </xf>
    <xf numFmtId="1" fontId="18" fillId="12" borderId="20" xfId="1" applyNumberFormat="1" applyFont="1" applyFill="1" applyBorder="1" applyAlignment="1" applyProtection="1">
      <alignment horizontal="right"/>
      <protection hidden="1"/>
    </xf>
    <xf numFmtId="1" fontId="18" fillId="12" borderId="0" xfId="1" applyNumberFormat="1" applyFont="1" applyFill="1" applyBorder="1" applyAlignment="1" applyProtection="1">
      <alignment horizontal="right" vertical="center"/>
      <protection hidden="1"/>
    </xf>
    <xf numFmtId="1" fontId="18" fillId="12" borderId="17" xfId="1" applyNumberFormat="1" applyFont="1" applyFill="1" applyBorder="1" applyAlignment="1" applyProtection="1">
      <alignment horizontal="right"/>
      <protection hidden="1"/>
    </xf>
    <xf numFmtId="0" fontId="16" fillId="4" borderId="2" xfId="0" applyFont="1" applyFill="1" applyBorder="1" applyAlignment="1" applyProtection="1">
      <alignment horizontal="center" vertical="center"/>
      <protection hidden="1"/>
    </xf>
    <xf numFmtId="0" fontId="16" fillId="4" borderId="3" xfId="0" applyFont="1" applyFill="1" applyBorder="1" applyAlignment="1" applyProtection="1">
      <alignment horizontal="center" vertical="center"/>
      <protection hidden="1"/>
    </xf>
    <xf numFmtId="0" fontId="16" fillId="4" borderId="4" xfId="0" applyFont="1" applyFill="1" applyBorder="1" applyAlignment="1" applyProtection="1">
      <alignment horizontal="center" vertical="center"/>
      <protection hidden="1"/>
    </xf>
    <xf numFmtId="0" fontId="16" fillId="4" borderId="0" xfId="0" applyFont="1" applyFill="1" applyAlignment="1" applyProtection="1">
      <alignment horizontal="center" vertical="center"/>
      <protection hidden="1"/>
    </xf>
    <xf numFmtId="0" fontId="16" fillId="4" borderId="5" xfId="0" applyFont="1" applyFill="1" applyBorder="1" applyAlignment="1" applyProtection="1">
      <alignment horizontal="center" vertical="center"/>
      <protection hidden="1"/>
    </xf>
    <xf numFmtId="0" fontId="22" fillId="8" borderId="0" xfId="0" applyFont="1" applyFill="1"/>
    <xf numFmtId="0" fontId="12" fillId="8" borderId="0" xfId="0" applyFont="1" applyFill="1" applyAlignment="1">
      <alignment horizontal="left" indent="1"/>
    </xf>
    <xf numFmtId="0" fontId="16" fillId="4" borderId="1" xfId="0" applyFont="1" applyFill="1" applyBorder="1" applyAlignment="1" applyProtection="1">
      <alignment horizontal="left" vertical="center"/>
      <protection hidden="1"/>
    </xf>
    <xf numFmtId="166" fontId="5" fillId="5" borderId="0" xfId="1" applyNumberFormat="1" applyFont="1" applyFill="1" applyBorder="1" applyAlignment="1" applyProtection="1">
      <alignment horizontal="center"/>
      <protection locked="0" hidden="1"/>
    </xf>
    <xf numFmtId="166" fontId="1" fillId="3" borderId="0" xfId="1" applyNumberFormat="1" applyFont="1" applyFill="1" applyBorder="1" applyProtection="1">
      <protection hidden="1"/>
    </xf>
    <xf numFmtId="0" fontId="4" fillId="4" borderId="11" xfId="0" applyFont="1" applyFill="1" applyBorder="1" applyAlignment="1" applyProtection="1">
      <alignment horizontal="center" vertical="center"/>
      <protection hidden="1"/>
    </xf>
    <xf numFmtId="0" fontId="0" fillId="4" borderId="2" xfId="0" applyFill="1" applyBorder="1" applyProtection="1">
      <protection hidden="1"/>
    </xf>
    <xf numFmtId="166" fontId="4" fillId="7" borderId="0" xfId="0" applyNumberFormat="1" applyFont="1" applyFill="1" applyAlignment="1" applyProtection="1">
      <alignment horizontal="center"/>
      <protection hidden="1"/>
    </xf>
    <xf numFmtId="0" fontId="4" fillId="7" borderId="0" xfId="0" applyFont="1" applyFill="1" applyProtection="1">
      <protection hidden="1"/>
    </xf>
    <xf numFmtId="166" fontId="4" fillId="7" borderId="0" xfId="1" applyNumberFormat="1" applyFont="1" applyFill="1" applyAlignment="1" applyProtection="1">
      <alignment horizontal="left"/>
      <protection hidden="1"/>
    </xf>
    <xf numFmtId="0" fontId="0" fillId="7" borderId="0" xfId="0" applyFill="1" applyAlignment="1" applyProtection="1">
      <alignment vertical="center"/>
      <protection hidden="1"/>
    </xf>
    <xf numFmtId="0" fontId="30" fillId="3" borderId="0" xfId="0" applyFont="1" applyFill="1" applyProtection="1">
      <protection hidden="1"/>
    </xf>
    <xf numFmtId="166" fontId="1" fillId="7" borderId="0" xfId="1" applyNumberFormat="1" applyFont="1" applyFill="1" applyBorder="1" applyAlignment="1" applyProtection="1">
      <protection hidden="1"/>
    </xf>
    <xf numFmtId="0" fontId="0" fillId="3" borderId="0" xfId="0" applyFill="1" applyAlignment="1" applyProtection="1">
      <alignment vertical="center"/>
      <protection hidden="1"/>
    </xf>
    <xf numFmtId="0" fontId="5" fillId="5" borderId="0" xfId="0" applyFont="1" applyFill="1" applyProtection="1">
      <protection locked="0"/>
    </xf>
    <xf numFmtId="0" fontId="5" fillId="3" borderId="0" xfId="0" applyFont="1" applyFill="1" applyProtection="1">
      <protection locked="0"/>
    </xf>
    <xf numFmtId="0" fontId="38" fillId="16" borderId="0" xfId="0" applyFont="1" applyFill="1" applyProtection="1">
      <protection locked="0"/>
    </xf>
    <xf numFmtId="0" fontId="15" fillId="5" borderId="0" xfId="0" applyFont="1" applyFill="1" applyAlignment="1" applyProtection="1">
      <alignment vertical="center" wrapText="1"/>
      <protection locked="0"/>
    </xf>
    <xf numFmtId="0" fontId="4" fillId="3" borderId="4" xfId="0" applyFont="1" applyFill="1" applyBorder="1" applyAlignment="1">
      <alignment horizontal="left" vertical="top" wrapText="1"/>
    </xf>
    <xf numFmtId="0" fontId="4" fillId="3" borderId="0" xfId="0" applyFont="1" applyFill="1" applyAlignment="1">
      <alignment horizontal="left" vertical="top" wrapText="1"/>
    </xf>
    <xf numFmtId="0" fontId="0" fillId="3" borderId="4" xfId="0" applyFill="1" applyBorder="1" applyAlignment="1">
      <alignment horizontal="left" vertical="center" wrapText="1"/>
    </xf>
    <xf numFmtId="0" fontId="0" fillId="3" borderId="0" xfId="0" applyFill="1" applyAlignment="1">
      <alignment horizontal="left" vertical="center" wrapText="1"/>
    </xf>
    <xf numFmtId="0" fontId="0" fillId="3" borderId="4" xfId="0" applyFill="1" applyBorder="1" applyAlignment="1">
      <alignment horizontal="left" vertical="top" wrapText="1"/>
    </xf>
    <xf numFmtId="0" fontId="0" fillId="3" borderId="0" xfId="0" applyFill="1" applyAlignment="1">
      <alignment horizontal="left" vertical="top" wrapText="1"/>
    </xf>
    <xf numFmtId="0" fontId="4" fillId="4" borderId="10" xfId="0" applyFont="1" applyFill="1" applyBorder="1" applyAlignment="1">
      <alignment horizontal="center" vertical="center"/>
    </xf>
    <xf numFmtId="0" fontId="4" fillId="4" borderId="11" xfId="0" applyFont="1" applyFill="1" applyBorder="1" applyAlignment="1">
      <alignment horizontal="center" vertical="center"/>
    </xf>
    <xf numFmtId="0" fontId="0" fillId="3" borderId="0" xfId="0" applyFill="1" applyAlignment="1" applyProtection="1">
      <alignment horizontal="left" vertical="top" wrapText="1"/>
      <protection hidden="1"/>
    </xf>
    <xf numFmtId="0" fontId="0" fillId="3" borderId="15" xfId="0" applyFill="1" applyBorder="1" applyAlignment="1" applyProtection="1">
      <alignment horizontal="left" vertical="top" wrapText="1"/>
      <protection hidden="1"/>
    </xf>
    <xf numFmtId="0" fontId="4" fillId="7" borderId="4" xfId="0" applyFont="1" applyFill="1" applyBorder="1" applyAlignment="1" applyProtection="1">
      <alignment horizontal="center" vertical="center"/>
      <protection hidden="1"/>
    </xf>
    <xf numFmtId="0" fontId="4" fillId="7" borderId="0" xfId="0" applyFont="1" applyFill="1" applyAlignment="1" applyProtection="1">
      <alignment horizontal="center" vertical="center"/>
      <protection hidden="1"/>
    </xf>
    <xf numFmtId="0" fontId="16" fillId="4" borderId="1" xfId="0" applyFont="1" applyFill="1" applyBorder="1" applyAlignment="1" applyProtection="1">
      <alignment horizontal="left" vertical="center"/>
      <protection hidden="1"/>
    </xf>
    <xf numFmtId="0" fontId="16" fillId="4" borderId="2" xfId="0" applyFont="1" applyFill="1" applyBorder="1" applyAlignment="1" applyProtection="1">
      <alignment horizontal="left" vertical="center"/>
      <protection hidden="1"/>
    </xf>
    <xf numFmtId="0" fontId="16" fillId="4" borderId="3" xfId="0" applyFont="1" applyFill="1" applyBorder="1" applyAlignment="1" applyProtection="1">
      <alignment horizontal="left" vertical="center"/>
      <protection hidden="1"/>
    </xf>
    <xf numFmtId="0" fontId="4" fillId="7" borderId="0" xfId="0" applyFont="1" applyFill="1" applyAlignment="1" applyProtection="1">
      <alignment horizontal="center" vertical="center" wrapText="1"/>
      <protection hidden="1"/>
    </xf>
    <xf numFmtId="0" fontId="4" fillId="7" borderId="32" xfId="0" applyFont="1" applyFill="1" applyBorder="1" applyAlignment="1">
      <alignment horizontal="center" vertical="center" wrapText="1"/>
    </xf>
    <xf numFmtId="0" fontId="4" fillId="7" borderId="33" xfId="0" applyFont="1" applyFill="1" applyBorder="1" applyAlignment="1">
      <alignment horizontal="center" vertical="center" wrapText="1"/>
    </xf>
    <xf numFmtId="0" fontId="4" fillId="4" borderId="26" xfId="0" applyFont="1" applyFill="1" applyBorder="1" applyAlignment="1">
      <alignment horizontal="left" vertical="center"/>
    </xf>
    <xf numFmtId="0" fontId="4" fillId="4" borderId="27" xfId="0" applyFont="1" applyFill="1" applyBorder="1" applyAlignment="1">
      <alignment horizontal="left" vertical="center"/>
    </xf>
    <xf numFmtId="0" fontId="4" fillId="4" borderId="28" xfId="0" applyFont="1" applyFill="1" applyBorder="1" applyAlignment="1">
      <alignment horizontal="left" vertical="center"/>
    </xf>
    <xf numFmtId="0" fontId="4" fillId="7" borderId="34" xfId="0" applyFont="1" applyFill="1" applyBorder="1" applyAlignment="1">
      <alignment horizontal="center" vertical="center" wrapText="1"/>
    </xf>
    <xf numFmtId="0" fontId="4" fillId="3" borderId="32" xfId="0" applyFont="1" applyFill="1" applyBorder="1" applyAlignment="1">
      <alignment horizontal="center" vertical="center" wrapText="1"/>
    </xf>
    <xf numFmtId="0" fontId="4" fillId="3" borderId="34" xfId="0" applyFont="1" applyFill="1" applyBorder="1" applyAlignment="1">
      <alignment horizontal="center" vertical="center" wrapText="1"/>
    </xf>
    <xf numFmtId="0" fontId="16" fillId="4" borderId="1" xfId="0" applyFont="1" applyFill="1" applyBorder="1" applyAlignment="1" applyProtection="1">
      <alignment horizontal="center" vertical="center"/>
      <protection hidden="1"/>
    </xf>
    <xf numFmtId="0" fontId="16" fillId="4" borderId="2" xfId="0" applyFont="1" applyFill="1" applyBorder="1" applyAlignment="1" applyProtection="1">
      <alignment horizontal="center" vertical="center"/>
      <protection hidden="1"/>
    </xf>
    <xf numFmtId="0" fontId="16" fillId="4" borderId="3" xfId="0" applyFont="1" applyFill="1" applyBorder="1" applyAlignment="1" applyProtection="1">
      <alignment horizontal="center" vertical="center"/>
      <protection hidden="1"/>
    </xf>
    <xf numFmtId="0" fontId="16" fillId="3" borderId="0" xfId="0" applyFont="1" applyFill="1" applyAlignment="1" applyProtection="1">
      <alignment horizontal="center" vertical="center"/>
      <protection hidden="1"/>
    </xf>
    <xf numFmtId="0" fontId="4" fillId="3" borderId="0" xfId="0" applyFont="1" applyFill="1" applyAlignment="1" applyProtection="1">
      <alignment horizontal="center" vertical="center"/>
      <protection hidden="1"/>
    </xf>
    <xf numFmtId="0" fontId="2" fillId="2" borderId="0" xfId="0" applyFont="1" applyFill="1" applyAlignment="1">
      <alignment horizontal="left"/>
    </xf>
    <xf numFmtId="0" fontId="4" fillId="3" borderId="33" xfId="0" applyFont="1" applyFill="1" applyBorder="1" applyAlignment="1">
      <alignment horizontal="center" vertical="center" wrapText="1"/>
    </xf>
    <xf numFmtId="0" fontId="21" fillId="15" borderId="0" xfId="0" applyFont="1" applyFill="1" applyAlignment="1" applyProtection="1">
      <alignment horizontal="center" vertical="center" wrapText="1"/>
      <protection hidden="1"/>
    </xf>
    <xf numFmtId="0" fontId="2" fillId="5" borderId="14" xfId="0" applyFont="1" applyFill="1" applyBorder="1" applyAlignment="1">
      <alignment horizontal="center"/>
    </xf>
    <xf numFmtId="0" fontId="2" fillId="5" borderId="9" xfId="0" applyFont="1" applyFill="1" applyBorder="1" applyAlignment="1">
      <alignment horizontal="center"/>
    </xf>
    <xf numFmtId="0" fontId="2" fillId="5" borderId="0" xfId="0" applyFont="1" applyFill="1" applyAlignment="1">
      <alignment horizontal="center" vertical="center" wrapText="1"/>
    </xf>
    <xf numFmtId="0" fontId="4" fillId="4" borderId="19" xfId="0" applyFont="1" applyFill="1" applyBorder="1" applyAlignment="1">
      <alignment horizontal="center" vertical="center"/>
    </xf>
    <xf numFmtId="0" fontId="4" fillId="4" borderId="9" xfId="0" applyFont="1" applyFill="1" applyBorder="1" applyAlignment="1">
      <alignment horizontal="center" vertical="center"/>
    </xf>
  </cellXfs>
  <cellStyles count="10">
    <cellStyle name="Lien hypertexte" xfId="3" builtinId="8"/>
    <cellStyle name="Milliers" xfId="1" builtinId="3"/>
    <cellStyle name="Milliers 2" xfId="6" xr:uid="{E8539236-433B-AE45-B234-070FB53F6672}"/>
    <cellStyle name="Normal" xfId="0" builtinId="0"/>
    <cellStyle name="Normal 2" xfId="5" xr:uid="{3A7CA146-282D-E246-8C1C-B5D2264AC9A8}"/>
    <cellStyle name="Normal 3" xfId="4" xr:uid="{9F63DC76-457F-2344-95BC-6E0F973661FA}"/>
    <cellStyle name="Normal 3 2" xfId="7" xr:uid="{E035FC5C-FF11-CC4D-87FC-4504C5C3A615}"/>
    <cellStyle name="Normal 4" xfId="8" xr:uid="{9E4DDAB8-AB10-DB4D-8A1E-58E53D9477BD}"/>
    <cellStyle name="Normal 5" xfId="9" xr:uid="{AB986BBB-A8C1-9A49-A2FB-1C1A4A121365}"/>
    <cellStyle name="Pourcentage" xfId="2" builtinId="5"/>
  </cellStyles>
  <dxfs count="56">
    <dxf>
      <font>
        <color theme="9"/>
      </font>
    </dxf>
    <dxf>
      <font>
        <color theme="6"/>
      </font>
    </dxf>
    <dxf>
      <font>
        <color theme="4"/>
      </font>
    </dxf>
    <dxf>
      <font>
        <color theme="9"/>
      </font>
    </dxf>
    <dxf>
      <font>
        <color theme="6"/>
      </font>
    </dxf>
    <dxf>
      <font>
        <color theme="9"/>
      </font>
    </dxf>
    <dxf>
      <font>
        <color theme="6"/>
      </font>
    </dxf>
    <dxf>
      <font>
        <color theme="4"/>
      </font>
    </dxf>
    <dxf>
      <font>
        <color theme="9"/>
      </font>
    </dxf>
    <dxf>
      <font>
        <color theme="6"/>
      </font>
    </dxf>
    <dxf>
      <font>
        <color theme="4"/>
      </font>
    </dxf>
    <dxf>
      <font>
        <color theme="4"/>
      </font>
    </dxf>
    <dxf>
      <font>
        <color theme="6"/>
      </font>
    </dxf>
    <dxf>
      <font>
        <color theme="9"/>
      </font>
    </dxf>
    <dxf>
      <font>
        <color theme="4"/>
      </font>
    </dxf>
    <dxf>
      <font>
        <color theme="6"/>
      </font>
    </dxf>
    <dxf>
      <font>
        <color theme="9"/>
      </font>
    </dxf>
    <dxf>
      <font>
        <color theme="9"/>
      </font>
    </dxf>
    <dxf>
      <font>
        <color theme="6"/>
      </font>
    </dxf>
    <dxf>
      <font>
        <color theme="4"/>
      </font>
    </dxf>
    <dxf>
      <font>
        <color theme="4"/>
      </font>
    </dxf>
    <dxf>
      <font>
        <color theme="6"/>
      </font>
    </dxf>
    <dxf>
      <font>
        <color theme="9"/>
      </font>
    </dxf>
    <dxf>
      <font>
        <color theme="9"/>
      </font>
    </dxf>
    <dxf>
      <font>
        <color theme="6"/>
      </font>
    </dxf>
    <dxf>
      <font>
        <color theme="4"/>
      </font>
    </dxf>
    <dxf>
      <font>
        <color theme="6"/>
      </font>
    </dxf>
    <dxf>
      <font>
        <color theme="9"/>
      </font>
    </dxf>
    <dxf>
      <font>
        <color theme="4"/>
      </font>
    </dxf>
    <dxf>
      <font>
        <color theme="6"/>
      </font>
    </dxf>
    <dxf>
      <font>
        <color theme="4"/>
      </font>
    </dxf>
    <dxf>
      <font>
        <color theme="9"/>
      </font>
    </dxf>
    <dxf>
      <font>
        <color theme="6"/>
      </font>
    </dxf>
    <dxf>
      <font>
        <color theme="9"/>
      </font>
    </dxf>
    <dxf>
      <font>
        <color theme="4"/>
      </font>
    </dxf>
    <dxf>
      <font>
        <color theme="9"/>
      </font>
    </dxf>
    <dxf>
      <font>
        <color theme="6"/>
      </font>
    </dxf>
    <dxf>
      <font>
        <color theme="4"/>
      </font>
    </dxf>
    <dxf>
      <font>
        <color theme="4"/>
      </font>
    </dxf>
    <dxf>
      <font>
        <color theme="6"/>
      </font>
    </dxf>
    <dxf>
      <font>
        <color theme="9"/>
      </font>
    </dxf>
    <dxf>
      <font>
        <color theme="9"/>
      </font>
    </dxf>
    <dxf>
      <font>
        <color theme="6"/>
      </font>
    </dxf>
    <dxf>
      <font>
        <color theme="4"/>
      </font>
    </dxf>
    <dxf>
      <font>
        <color theme="4"/>
      </font>
    </dxf>
    <dxf>
      <font>
        <color theme="6"/>
      </font>
    </dxf>
    <dxf>
      <font>
        <color theme="9"/>
      </font>
    </dxf>
    <dxf>
      <font>
        <color theme="4"/>
      </font>
    </dxf>
    <dxf>
      <font>
        <color theme="6"/>
      </font>
    </dxf>
    <dxf>
      <font>
        <color theme="9"/>
      </font>
    </dxf>
    <dxf>
      <font>
        <color theme="9"/>
      </font>
    </dxf>
    <dxf>
      <font>
        <color theme="6"/>
      </font>
    </dxf>
    <dxf>
      <font>
        <color theme="4"/>
      </font>
    </dxf>
    <dxf>
      <font>
        <color theme="4"/>
      </font>
    </dxf>
    <dxf>
      <font>
        <color theme="6"/>
      </font>
    </dxf>
    <dxf>
      <font>
        <color theme="9"/>
      </font>
    </dxf>
  </dxfs>
  <tableStyles count="0" defaultTableStyle="TableStyleMedium2" defaultPivotStyle="PivotStyleLight16"/>
  <colors>
    <mruColors>
      <color rgb="FF2E366B"/>
      <color rgb="FFF7CB9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'Résultats Territoire'!$B$48</c:f>
          <c:strCache>
            <c:ptCount val="1"/>
            <c:pt idx="0">
              <c:v>Objectifs de réduction alignés avec la stratégie climatique suisse et les Accords de Paris*</c:v>
            </c:pt>
          </c:strCache>
        </c:strRef>
      </c:tx>
      <c:overlay val="0"/>
      <c:spPr>
        <a:noFill/>
        <a:ln>
          <a:noFill/>
        </a:ln>
        <a:effectLst/>
      </c:spPr>
      <c:txPr>
        <a:bodyPr rot="0" spcFirstLastPara="1" vertOverflow="ellipsis" vert="horz" wrap="square" anchor="ctr" anchorCtr="1"/>
        <a:lstStyle/>
        <a:p>
          <a:pPr>
            <a:defRPr sz="1440" b="0" i="0" u="none" strike="noStrike" kern="1200" spc="0" baseline="0">
              <a:solidFill>
                <a:schemeClr val="tx1"/>
              </a:solidFill>
              <a:latin typeface="Montserrat Medium" pitchFamily="2" charset="77"/>
              <a:ea typeface="+mn-ea"/>
              <a:cs typeface="+mn-cs"/>
            </a:defRPr>
          </a:pPr>
          <a:endParaRPr lang="fr-FR"/>
        </a:p>
      </c:txPr>
    </c:title>
    <c:autoTitleDeleted val="0"/>
    <c:plotArea>
      <c:layout/>
      <c:barChart>
        <c:barDir val="col"/>
        <c:grouping val="stacked"/>
        <c:varyColors val="0"/>
        <c:ser>
          <c:idx val="0"/>
          <c:order val="0"/>
          <c:tx>
            <c:strRef>
              <c:f>'Résultats Territoire'!$C$48</c:f>
              <c:strCache>
                <c:ptCount val="1"/>
                <c:pt idx="0">
                  <c:v>Émissions directes</c:v>
                </c:pt>
              </c:strCache>
            </c:strRef>
          </c:tx>
          <c:spPr>
            <a:solidFill>
              <a:srgbClr val="2E366B"/>
            </a:solidFill>
            <a:ln>
              <a:noFill/>
            </a:ln>
            <a:effectLst/>
          </c:spPr>
          <c:invertIfNegative val="0"/>
          <c:dPt>
            <c:idx val="0"/>
            <c:invertIfNegative val="0"/>
            <c:bubble3D val="0"/>
            <c:extLst>
              <c:ext xmlns:c16="http://schemas.microsoft.com/office/drawing/2014/chart" uri="{C3380CC4-5D6E-409C-BE32-E72D297353CC}">
                <c16:uniqueId val="{00000004-285F-6D47-B4EF-416D2D539181}"/>
              </c:ext>
            </c:extLst>
          </c:dPt>
          <c:dPt>
            <c:idx val="1"/>
            <c:invertIfNegative val="0"/>
            <c:bubble3D val="0"/>
            <c:extLst>
              <c:ext xmlns:c16="http://schemas.microsoft.com/office/drawing/2014/chart" uri="{C3380CC4-5D6E-409C-BE32-E72D297353CC}">
                <c16:uniqueId val="{00000003-285F-6D47-B4EF-416D2D539181}"/>
              </c:ext>
            </c:extLst>
          </c:dPt>
          <c:dPt>
            <c:idx val="2"/>
            <c:invertIfNegative val="0"/>
            <c:bubble3D val="0"/>
            <c:extLst>
              <c:ext xmlns:c16="http://schemas.microsoft.com/office/drawing/2014/chart" uri="{C3380CC4-5D6E-409C-BE32-E72D297353CC}">
                <c16:uniqueId val="{00000005-285F-6D47-B4EF-416D2D539181}"/>
              </c:ext>
            </c:extLst>
          </c:dPt>
          <c:dPt>
            <c:idx val="3"/>
            <c:invertIfNegative val="0"/>
            <c:bubble3D val="0"/>
            <c:extLst>
              <c:ext xmlns:c16="http://schemas.microsoft.com/office/drawing/2014/chart" uri="{C3380CC4-5D6E-409C-BE32-E72D297353CC}">
                <c16:uniqueId val="{00000002-285F-6D47-B4EF-416D2D539181}"/>
              </c:ext>
            </c:extLst>
          </c:dPt>
          <c:dLbls>
            <c:spPr>
              <a:noFill/>
              <a:ln>
                <a:noFill/>
              </a:ln>
              <a:effectLst/>
            </c:spPr>
            <c:txPr>
              <a:bodyPr rot="0" spcFirstLastPara="1" vertOverflow="ellipsis" vert="horz" wrap="square" anchor="ctr" anchorCtr="1"/>
              <a:lstStyle/>
              <a:p>
                <a:pPr>
                  <a:defRPr sz="1200" b="0" i="0" u="none" strike="noStrike" kern="1200" baseline="0">
                    <a:solidFill>
                      <a:schemeClr val="bg1"/>
                    </a:solidFill>
                    <a:latin typeface="Montserrat Medium" pitchFamily="2" charset="77"/>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'Résultats Territoire'!$B$49:$B$52</c:f>
              <c:strCache>
                <c:ptCount val="4"/>
                <c:pt idx="0">
                  <c:v>Moyenne suisse - 2019</c:v>
                </c:pt>
                <c:pt idx="1">
                  <c:v>Le Vaud - 2019</c:v>
                </c:pt>
                <c:pt idx="2">
                  <c:v>Objectif 2030</c:v>
                </c:pt>
                <c:pt idx="3">
                  <c:v>Objectif 2050</c:v>
                </c:pt>
              </c:strCache>
            </c:strRef>
          </c:cat>
          <c:val>
            <c:numRef>
              <c:f>'Résultats Territoire'!$C$49:$C$52</c:f>
              <c:numCache>
                <c:formatCode>_ * #\ ##0.0_)_ ;_ * \(#\ ##0.0\)_ ;_ * "-"??_)_ ;_ @_ </c:formatCode>
                <c:ptCount val="4"/>
                <c:pt idx="0">
                  <c:v>5.5</c:v>
                </c:pt>
                <c:pt idx="1">
                  <c:v>2.9758826856001312</c:v>
                </c:pt>
                <c:pt idx="2">
                  <c:v>1.4879413428000656</c:v>
                </c:pt>
                <c:pt idx="3">
                  <c:v>0</c:v>
                </c:pt>
              </c:numCache>
            </c:numRef>
          </c:val>
          <c:extLst>
            <c:ext xmlns:c16="http://schemas.microsoft.com/office/drawing/2014/chart" uri="{C3380CC4-5D6E-409C-BE32-E72D297353CC}">
              <c16:uniqueId val="{00000000-285F-6D47-B4EF-416D2D539181}"/>
            </c:ext>
          </c:extLst>
        </c:ser>
        <c:ser>
          <c:idx val="1"/>
          <c:order val="1"/>
          <c:tx>
            <c:strRef>
              <c:f>'Résultats Territoire'!$D$48</c:f>
              <c:strCache>
                <c:ptCount val="1"/>
                <c:pt idx="0">
                  <c:v>Émissions indirectes</c:v>
                </c:pt>
              </c:strCache>
            </c:strRef>
          </c:tx>
          <c:spPr>
            <a:solidFill>
              <a:srgbClr val="F7CB9F"/>
            </a:solidFill>
            <a:ln>
              <a:noFill/>
            </a:ln>
            <a:effectLst/>
          </c:spPr>
          <c:invertIfNegative val="0"/>
          <c:dLbls>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Montserrat Medium" pitchFamily="2" charset="77"/>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'Résultats Territoire'!$B$49:$B$52</c:f>
              <c:strCache>
                <c:ptCount val="4"/>
                <c:pt idx="0">
                  <c:v>Moyenne suisse - 2019</c:v>
                </c:pt>
                <c:pt idx="1">
                  <c:v>Le Vaud - 2019</c:v>
                </c:pt>
                <c:pt idx="2">
                  <c:v>Objectif 2030</c:v>
                </c:pt>
                <c:pt idx="3">
                  <c:v>Objectif 2050</c:v>
                </c:pt>
              </c:strCache>
            </c:strRef>
          </c:cat>
          <c:val>
            <c:numRef>
              <c:f>'Résultats Territoire'!$D$49:$D$52</c:f>
              <c:numCache>
                <c:formatCode>_ * #\ ##0.0_)_ ;_ * \(#\ ##0.0\)_ ;_ * "-"??_)_ ;_ @_ </c:formatCode>
                <c:ptCount val="4"/>
                <c:pt idx="0">
                  <c:v>9.5</c:v>
                </c:pt>
                <c:pt idx="1">
                  <c:v>10.265872830155716</c:v>
                </c:pt>
                <c:pt idx="2">
                  <c:v>5.1329364150778582</c:v>
                </c:pt>
                <c:pt idx="3">
                  <c:v>1.5</c:v>
                </c:pt>
              </c:numCache>
            </c:numRef>
          </c:val>
          <c:extLst>
            <c:ext xmlns:c16="http://schemas.microsoft.com/office/drawing/2014/chart" uri="{C3380CC4-5D6E-409C-BE32-E72D297353CC}">
              <c16:uniqueId val="{00000009-68A4-DF48-8DDC-6DB95D518E19}"/>
            </c:ext>
          </c:extLst>
        </c:ser>
        <c:dLbls>
          <c:dLblPos val="ctr"/>
          <c:showLegendKey val="0"/>
          <c:showVal val="1"/>
          <c:showCatName val="0"/>
          <c:showSerName val="0"/>
          <c:showPercent val="0"/>
          <c:showBubbleSize val="0"/>
        </c:dLbls>
        <c:gapWidth val="219"/>
        <c:overlap val="100"/>
        <c:axId val="1958040383"/>
        <c:axId val="1958206191"/>
      </c:barChart>
      <c:catAx>
        <c:axId val="195804038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Montserrat Medium" pitchFamily="2" charset="77"/>
                <a:ea typeface="+mn-ea"/>
                <a:cs typeface="+mn-cs"/>
              </a:defRPr>
            </a:pPr>
            <a:endParaRPr lang="fr-FR"/>
          </a:p>
        </c:txPr>
        <c:crossAx val="1958206191"/>
        <c:crosses val="autoZero"/>
        <c:auto val="1"/>
        <c:lblAlgn val="ctr"/>
        <c:lblOffset val="100"/>
        <c:noMultiLvlLbl val="0"/>
      </c:catAx>
      <c:valAx>
        <c:axId val="1958206191"/>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chemeClr val="tx1"/>
                    </a:solidFill>
                    <a:latin typeface="Montserrat Medium" pitchFamily="2" charset="77"/>
                    <a:ea typeface="+mn-ea"/>
                    <a:cs typeface="+mn-cs"/>
                  </a:defRPr>
                </a:pPr>
                <a:r>
                  <a:rPr lang="fr-FR"/>
                  <a:t>Tonnes de CO2eq par habitant.e</a:t>
                </a:r>
              </a:p>
            </c:rich>
          </c:tx>
          <c:overlay val="0"/>
          <c:spPr>
            <a:noFill/>
            <a:ln>
              <a:noFill/>
            </a:ln>
            <a:effectLst/>
          </c:spPr>
          <c:txPr>
            <a:bodyPr rot="-5400000" spcFirstLastPara="1" vertOverflow="ellipsis" vert="horz" wrap="square" anchor="ctr" anchorCtr="1"/>
            <a:lstStyle/>
            <a:p>
              <a:pPr>
                <a:defRPr sz="1200" b="0" i="0" u="none" strike="noStrike" kern="1200" baseline="0">
                  <a:solidFill>
                    <a:schemeClr val="tx1"/>
                  </a:solidFill>
                  <a:latin typeface="Montserrat Medium" pitchFamily="2" charset="77"/>
                  <a:ea typeface="+mn-ea"/>
                  <a:cs typeface="+mn-cs"/>
                </a:defRPr>
              </a:pPr>
              <a:endParaRPr lang="fr-FR"/>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solidFill>
                <a:latin typeface="Montserrat Medium" pitchFamily="2" charset="77"/>
                <a:ea typeface="+mn-ea"/>
                <a:cs typeface="+mn-cs"/>
              </a:defRPr>
            </a:pPr>
            <a:endParaRPr lang="fr-FR"/>
          </a:p>
        </c:txPr>
        <c:crossAx val="1958040383"/>
        <c:crosses val="autoZero"/>
        <c:crossBetween val="between"/>
      </c:valAx>
      <c:spPr>
        <a:noFill/>
        <a:ln>
          <a:noFill/>
        </a:ln>
        <a:effectLst/>
      </c:spPr>
    </c:plotArea>
    <c:legend>
      <c:legendPos val="r"/>
      <c:layout>
        <c:manualLayout>
          <c:xMode val="edge"/>
          <c:yMode val="edge"/>
          <c:x val="0.86764167274559456"/>
          <c:y val="0.4267896916135504"/>
          <c:w val="0.12593371827027267"/>
          <c:h val="0.25352366499369394"/>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Montserrat Medium" pitchFamily="2" charset="77"/>
              <a:ea typeface="+mn-ea"/>
              <a:cs typeface="+mn-cs"/>
            </a:defRPr>
          </a:pPr>
          <a:endParaRPr lang="fr-F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200" b="0" i="0">
          <a:solidFill>
            <a:schemeClr val="tx1"/>
          </a:solidFill>
          <a:latin typeface="Montserrat Medium" pitchFamily="2" charset="77"/>
        </a:defRPr>
      </a:pPr>
      <a:endParaRPr lang="fr-F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chemeClr val="accent1"/>
            </a:solidFill>
            <a:ln>
              <a:noFill/>
            </a:ln>
            <a:effectLst/>
          </c:spPr>
          <c:invertIfNegative val="0"/>
          <c:dPt>
            <c:idx val="0"/>
            <c:invertIfNegative val="0"/>
            <c:bubble3D val="0"/>
            <c:spPr>
              <a:solidFill>
                <a:schemeClr val="accent1">
                  <a:lumMod val="50000"/>
                </a:schemeClr>
              </a:solidFill>
              <a:ln>
                <a:noFill/>
              </a:ln>
              <a:effectLst/>
            </c:spPr>
            <c:extLst>
              <c:ext xmlns:c16="http://schemas.microsoft.com/office/drawing/2014/chart" uri="{C3380CC4-5D6E-409C-BE32-E72D297353CC}">
                <c16:uniqueId val="{00000002-403B-EA4E-B547-E51827A5EDB7}"/>
              </c:ext>
            </c:extLst>
          </c:dPt>
          <c:dPt>
            <c:idx val="1"/>
            <c:invertIfNegative val="0"/>
            <c:bubble3D val="0"/>
            <c:extLst>
              <c:ext xmlns:c16="http://schemas.microsoft.com/office/drawing/2014/chart" uri="{C3380CC4-5D6E-409C-BE32-E72D297353CC}">
                <c16:uniqueId val="{00000003-403B-EA4E-B547-E51827A5EDB7}"/>
              </c:ext>
            </c:extLst>
          </c:dPt>
          <c:dPt>
            <c:idx val="2"/>
            <c:invertIfNegative val="0"/>
            <c:bubble3D val="0"/>
            <c:spPr>
              <a:solidFill>
                <a:srgbClr val="C00000"/>
              </a:solidFill>
              <a:ln>
                <a:noFill/>
              </a:ln>
              <a:effectLst/>
            </c:spPr>
            <c:extLst>
              <c:ext xmlns:c16="http://schemas.microsoft.com/office/drawing/2014/chart" uri="{C3380CC4-5D6E-409C-BE32-E72D297353CC}">
                <c16:uniqueId val="{00000004-403B-EA4E-B547-E51827A5EDB7}"/>
              </c:ext>
            </c:extLst>
          </c:dPt>
          <c:dPt>
            <c:idx val="3"/>
            <c:invertIfNegative val="0"/>
            <c:bubble3D val="0"/>
            <c:spPr>
              <a:solidFill>
                <a:srgbClr val="FFC000"/>
              </a:solidFill>
              <a:ln>
                <a:noFill/>
              </a:ln>
              <a:effectLst/>
            </c:spPr>
            <c:extLst>
              <c:ext xmlns:c16="http://schemas.microsoft.com/office/drawing/2014/chart" uri="{C3380CC4-5D6E-409C-BE32-E72D297353CC}">
                <c16:uniqueId val="{00000008-403B-EA4E-B547-E51827A5EDB7}"/>
              </c:ext>
            </c:extLst>
          </c:dPt>
          <c:dPt>
            <c:idx val="5"/>
            <c:invertIfNegative val="0"/>
            <c:bubble3D val="0"/>
            <c:spPr>
              <a:solidFill>
                <a:schemeClr val="accent5"/>
              </a:solidFill>
              <a:ln>
                <a:noFill/>
              </a:ln>
              <a:effectLst/>
            </c:spPr>
            <c:extLst>
              <c:ext xmlns:c16="http://schemas.microsoft.com/office/drawing/2014/chart" uri="{C3380CC4-5D6E-409C-BE32-E72D297353CC}">
                <c16:uniqueId val="{00000005-403B-EA4E-B547-E51827A5EDB7}"/>
              </c:ext>
            </c:extLst>
          </c:dPt>
          <c:dPt>
            <c:idx val="6"/>
            <c:invertIfNegative val="0"/>
            <c:bubble3D val="0"/>
            <c:spPr>
              <a:solidFill>
                <a:schemeClr val="accent6"/>
              </a:solidFill>
              <a:ln>
                <a:noFill/>
              </a:ln>
              <a:effectLst/>
            </c:spPr>
            <c:extLst>
              <c:ext xmlns:c16="http://schemas.microsoft.com/office/drawing/2014/chart" uri="{C3380CC4-5D6E-409C-BE32-E72D297353CC}">
                <c16:uniqueId val="{00000007-403B-EA4E-B547-E51827A5EDB7}"/>
              </c:ext>
            </c:extLst>
          </c:dPt>
          <c:dPt>
            <c:idx val="8"/>
            <c:invertIfNegative val="0"/>
            <c:bubble3D val="0"/>
            <c:spPr>
              <a:solidFill>
                <a:srgbClr val="FFC000"/>
              </a:solidFill>
              <a:ln>
                <a:noFill/>
              </a:ln>
              <a:effectLst/>
            </c:spPr>
            <c:extLst>
              <c:ext xmlns:c16="http://schemas.microsoft.com/office/drawing/2014/chart" uri="{C3380CC4-5D6E-409C-BE32-E72D297353CC}">
                <c16:uniqueId val="{00000006-403B-EA4E-B547-E51827A5EDB7}"/>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'Résultats Territoire'!$I$8:$I$16</c:f>
              <c:strCache>
                <c:ptCount val="9"/>
                <c:pt idx="0">
                  <c:v>Mazout</c:v>
                </c:pt>
                <c:pt idx="1">
                  <c:v>Gaz naturel</c:v>
                </c:pt>
                <c:pt idx="2">
                  <c:v>Bois (bûches, copeaux, pellets)</c:v>
                </c:pt>
                <c:pt idx="3">
                  <c:v>Solaire thermique</c:v>
                </c:pt>
                <c:pt idx="4">
                  <c:v>Pompe à chaleur</c:v>
                </c:pt>
                <c:pt idx="5">
                  <c:v>Chauffage à distance</c:v>
                </c:pt>
                <c:pt idx="6">
                  <c:v>Chauffage électrique direct</c:v>
                </c:pt>
                <c:pt idx="7">
                  <c:v>Autres agents énergétiques (non renseignés)</c:v>
                </c:pt>
                <c:pt idx="8">
                  <c:v>Électricité (Hors chaleur)</c:v>
                </c:pt>
              </c:strCache>
            </c:strRef>
          </c:cat>
          <c:val>
            <c:numRef>
              <c:f>'Résultats Territoire'!$L$8:$L$16</c:f>
              <c:numCache>
                <c:formatCode>0%</c:formatCode>
                <c:ptCount val="9"/>
                <c:pt idx="0">
                  <c:v>0.66048142100388696</c:v>
                </c:pt>
                <c:pt idx="1">
                  <c:v>0</c:v>
                </c:pt>
                <c:pt idx="2">
                  <c:v>1.4255218113755812E-2</c:v>
                </c:pt>
                <c:pt idx="3">
                  <c:v>5.8874496426065688E-4</c:v>
                </c:pt>
                <c:pt idx="4">
                  <c:v>9.3853702229862723E-3</c:v>
                </c:pt>
                <c:pt idx="5">
                  <c:v>1.6941313188651404E-3</c:v>
                </c:pt>
                <c:pt idx="6">
                  <c:v>0.23898488042555963</c:v>
                </c:pt>
                <c:pt idx="7">
                  <c:v>4.3238651921077289E-4</c:v>
                </c:pt>
                <c:pt idx="8">
                  <c:v>7.4177847431474653E-2</c:v>
                </c:pt>
              </c:numCache>
            </c:numRef>
          </c:val>
          <c:extLst>
            <c:ext xmlns:c16="http://schemas.microsoft.com/office/drawing/2014/chart" uri="{C3380CC4-5D6E-409C-BE32-E72D297353CC}">
              <c16:uniqueId val="{00000000-403B-EA4E-B547-E51827A5EDB7}"/>
            </c:ext>
          </c:extLst>
        </c:ser>
        <c:dLbls>
          <c:dLblPos val="outEnd"/>
          <c:showLegendKey val="0"/>
          <c:showVal val="1"/>
          <c:showCatName val="0"/>
          <c:showSerName val="0"/>
          <c:showPercent val="0"/>
          <c:showBubbleSize val="0"/>
        </c:dLbls>
        <c:gapWidth val="219"/>
        <c:overlap val="-27"/>
        <c:axId val="486948240"/>
        <c:axId val="486949920"/>
      </c:barChart>
      <c:catAx>
        <c:axId val="4869482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fr-FR"/>
          </a:p>
        </c:txPr>
        <c:crossAx val="486949920"/>
        <c:crosses val="autoZero"/>
        <c:auto val="1"/>
        <c:lblAlgn val="ctr"/>
        <c:lblOffset val="100"/>
        <c:noMultiLvlLbl val="0"/>
      </c:catAx>
      <c:valAx>
        <c:axId val="48694992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fr-FR"/>
          </a:p>
        </c:txPr>
        <c:crossAx val="48694824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solidFill>
            <a:schemeClr val="tx1"/>
          </a:solidFill>
        </a:defRPr>
      </a:pPr>
      <a:endParaRPr lang="fr-F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chemeClr val="accent1"/>
            </a:solidFill>
            <a:ln>
              <a:noFill/>
            </a:ln>
            <a:effectLst/>
          </c:spPr>
          <c:invertIfNegative val="0"/>
          <c:dPt>
            <c:idx val="0"/>
            <c:invertIfNegative val="0"/>
            <c:bubble3D val="0"/>
            <c:spPr>
              <a:solidFill>
                <a:schemeClr val="accent1">
                  <a:lumMod val="50000"/>
                </a:schemeClr>
              </a:solidFill>
              <a:ln>
                <a:noFill/>
              </a:ln>
              <a:effectLst/>
            </c:spPr>
            <c:extLst>
              <c:ext xmlns:c16="http://schemas.microsoft.com/office/drawing/2014/chart" uri="{C3380CC4-5D6E-409C-BE32-E72D297353CC}">
                <c16:uniqueId val="{00000002-2790-2C40-83D1-C7465CEDA010}"/>
              </c:ext>
            </c:extLst>
          </c:dPt>
          <c:dPt>
            <c:idx val="1"/>
            <c:invertIfNegative val="0"/>
            <c:bubble3D val="0"/>
            <c:spPr>
              <a:solidFill>
                <a:schemeClr val="accent6">
                  <a:lumMod val="50000"/>
                </a:schemeClr>
              </a:solidFill>
              <a:ln>
                <a:noFill/>
              </a:ln>
              <a:effectLst/>
            </c:spPr>
            <c:extLst>
              <c:ext xmlns:c16="http://schemas.microsoft.com/office/drawing/2014/chart" uri="{C3380CC4-5D6E-409C-BE32-E72D297353CC}">
                <c16:uniqueId val="{00000003-2790-2C40-83D1-C7465CEDA010}"/>
              </c:ext>
            </c:extLst>
          </c:dPt>
          <c:dPt>
            <c:idx val="2"/>
            <c:invertIfNegative val="0"/>
            <c:bubble3D val="0"/>
            <c:spPr>
              <a:solidFill>
                <a:schemeClr val="accent4">
                  <a:lumMod val="50000"/>
                </a:schemeClr>
              </a:solidFill>
              <a:ln>
                <a:noFill/>
              </a:ln>
              <a:effectLst/>
            </c:spPr>
            <c:extLst>
              <c:ext xmlns:c16="http://schemas.microsoft.com/office/drawing/2014/chart" uri="{C3380CC4-5D6E-409C-BE32-E72D297353CC}">
                <c16:uniqueId val="{00000004-2790-2C40-83D1-C7465CEDA010}"/>
              </c:ext>
            </c:extLst>
          </c:dPt>
          <c:dPt>
            <c:idx val="3"/>
            <c:invertIfNegative val="0"/>
            <c:bubble3D val="0"/>
            <c:spPr>
              <a:solidFill>
                <a:schemeClr val="tx1">
                  <a:lumMod val="60000"/>
                  <a:lumOff val="40000"/>
                </a:schemeClr>
              </a:solidFill>
              <a:ln>
                <a:noFill/>
              </a:ln>
              <a:effectLst/>
            </c:spPr>
            <c:extLst>
              <c:ext xmlns:c16="http://schemas.microsoft.com/office/drawing/2014/chart" uri="{C3380CC4-5D6E-409C-BE32-E72D297353CC}">
                <c16:uniqueId val="{00000005-2790-2C40-83D1-C7465CEDA010}"/>
              </c:ext>
            </c:extLst>
          </c:dPt>
          <c:dPt>
            <c:idx val="4"/>
            <c:invertIfNegative val="0"/>
            <c:bubble3D val="0"/>
            <c:spPr>
              <a:solidFill>
                <a:schemeClr val="bg1">
                  <a:lumMod val="85000"/>
                </a:schemeClr>
              </a:solidFill>
              <a:ln>
                <a:noFill/>
              </a:ln>
              <a:effectLst/>
            </c:spPr>
            <c:extLst>
              <c:ext xmlns:c16="http://schemas.microsoft.com/office/drawing/2014/chart" uri="{C3380CC4-5D6E-409C-BE32-E72D297353CC}">
                <c16:uniqueId val="{00000006-2790-2C40-83D1-C7465CEDA010}"/>
              </c:ext>
            </c:extLst>
          </c:dPt>
          <c:dPt>
            <c:idx val="5"/>
            <c:invertIfNegative val="0"/>
            <c:bubble3D val="0"/>
            <c:spPr>
              <a:solidFill>
                <a:schemeClr val="bg1">
                  <a:lumMod val="65000"/>
                </a:schemeClr>
              </a:solidFill>
              <a:ln>
                <a:noFill/>
              </a:ln>
              <a:effectLst/>
            </c:spPr>
            <c:extLst>
              <c:ext xmlns:c16="http://schemas.microsoft.com/office/drawing/2014/chart" uri="{C3380CC4-5D6E-409C-BE32-E72D297353CC}">
                <c16:uniqueId val="{00000007-2790-2C40-83D1-C7465CEDA010}"/>
              </c:ext>
            </c:extLst>
          </c:dPt>
          <c:dPt>
            <c:idx val="6"/>
            <c:invertIfNegative val="0"/>
            <c:bubble3D val="0"/>
            <c:spPr>
              <a:solidFill>
                <a:schemeClr val="accent2">
                  <a:lumMod val="50000"/>
                </a:schemeClr>
              </a:solidFill>
              <a:ln>
                <a:noFill/>
              </a:ln>
              <a:effectLst/>
            </c:spPr>
            <c:extLst>
              <c:ext xmlns:c16="http://schemas.microsoft.com/office/drawing/2014/chart" uri="{C3380CC4-5D6E-409C-BE32-E72D297353CC}">
                <c16:uniqueId val="{00000008-2790-2C40-83D1-C7465CEDA010}"/>
              </c:ext>
            </c:extLst>
          </c:dPt>
          <c:dPt>
            <c:idx val="7"/>
            <c:invertIfNegative val="0"/>
            <c:bubble3D val="0"/>
            <c:extLst>
              <c:ext xmlns:c16="http://schemas.microsoft.com/office/drawing/2014/chart" uri="{C3380CC4-5D6E-409C-BE32-E72D297353CC}">
                <c16:uniqueId val="{00000009-2790-2C40-83D1-C7465CEDA010}"/>
              </c:ext>
            </c:extLst>
          </c:dPt>
          <c:dPt>
            <c:idx val="8"/>
            <c:invertIfNegative val="0"/>
            <c:bubble3D val="0"/>
            <c:spPr>
              <a:solidFill>
                <a:schemeClr val="accent3"/>
              </a:solidFill>
              <a:ln>
                <a:noFill/>
              </a:ln>
              <a:effectLst/>
            </c:spPr>
            <c:extLst>
              <c:ext xmlns:c16="http://schemas.microsoft.com/office/drawing/2014/chart" uri="{C3380CC4-5D6E-409C-BE32-E72D297353CC}">
                <c16:uniqueId val="{0000000A-2790-2C40-83D1-C7465CEDA010}"/>
              </c:ext>
            </c:extLst>
          </c:dPt>
          <c:dPt>
            <c:idx val="9"/>
            <c:invertIfNegative val="0"/>
            <c:bubble3D val="0"/>
            <c:spPr>
              <a:solidFill>
                <a:schemeClr val="accent5">
                  <a:lumMod val="50000"/>
                </a:schemeClr>
              </a:solidFill>
              <a:ln>
                <a:noFill/>
              </a:ln>
              <a:effectLst/>
            </c:spPr>
            <c:extLst>
              <c:ext xmlns:c16="http://schemas.microsoft.com/office/drawing/2014/chart" uri="{C3380CC4-5D6E-409C-BE32-E72D297353CC}">
                <c16:uniqueId val="{0000000B-2790-2C40-83D1-C7465CEDA010}"/>
              </c:ext>
            </c:extLst>
          </c:dPt>
          <c:dPt>
            <c:idx val="10"/>
            <c:invertIfNegative val="0"/>
            <c:bubble3D val="0"/>
            <c:spPr>
              <a:solidFill>
                <a:srgbClr val="C00000"/>
              </a:solidFill>
              <a:ln>
                <a:noFill/>
              </a:ln>
              <a:effectLst/>
            </c:spPr>
            <c:extLst>
              <c:ext xmlns:c16="http://schemas.microsoft.com/office/drawing/2014/chart" uri="{C3380CC4-5D6E-409C-BE32-E72D297353CC}">
                <c16:uniqueId val="{0000000C-2790-2C40-83D1-C7465CEDA010}"/>
              </c:ext>
            </c:extLst>
          </c:dPt>
          <c:dPt>
            <c:idx val="11"/>
            <c:invertIfNegative val="0"/>
            <c:bubble3D val="0"/>
            <c:spPr>
              <a:solidFill>
                <a:srgbClr val="FFC000"/>
              </a:solidFill>
              <a:ln>
                <a:noFill/>
              </a:ln>
              <a:effectLst/>
            </c:spPr>
            <c:extLst>
              <c:ext xmlns:c16="http://schemas.microsoft.com/office/drawing/2014/chart" uri="{C3380CC4-5D6E-409C-BE32-E72D297353CC}">
                <c16:uniqueId val="{0000000D-2790-2C40-83D1-C7465CEDA010}"/>
              </c:ext>
            </c:extLst>
          </c:dPt>
          <c:dPt>
            <c:idx val="12"/>
            <c:invertIfNegative val="0"/>
            <c:bubble3D val="0"/>
            <c:spPr>
              <a:solidFill>
                <a:srgbClr val="7030A0"/>
              </a:solidFill>
              <a:ln>
                <a:noFill/>
              </a:ln>
              <a:effectLst/>
            </c:spPr>
            <c:extLst>
              <c:ext xmlns:c16="http://schemas.microsoft.com/office/drawing/2014/chart" uri="{C3380CC4-5D6E-409C-BE32-E72D297353CC}">
                <c16:uniqueId val="{0000000E-2790-2C40-83D1-C7465CEDA010}"/>
              </c:ext>
            </c:extLst>
          </c:dPt>
          <c:cat>
            <c:strRef>
              <c:f>'Résultats Territoire'!$I$39:$I$51</c:f>
              <c:strCache>
                <c:ptCount val="13"/>
                <c:pt idx="0">
                  <c:v>Déchets incinérables</c:v>
                </c:pt>
                <c:pt idx="1">
                  <c:v>Biodéchets, compostage</c:v>
                </c:pt>
                <c:pt idx="2">
                  <c:v>Biodéchets, biogaz</c:v>
                </c:pt>
                <c:pt idx="3">
                  <c:v>Papier, carton</c:v>
                </c:pt>
                <c:pt idx="4">
                  <c:v>Aluminium</c:v>
                </c:pt>
                <c:pt idx="5">
                  <c:v>Ferraille</c:v>
                </c:pt>
                <c:pt idx="6">
                  <c:v>Verre</c:v>
                </c:pt>
                <c:pt idx="7">
                  <c:v>PET</c:v>
                </c:pt>
                <c:pt idx="8">
                  <c:v>Flaconnage</c:v>
                </c:pt>
                <c:pt idx="9">
                  <c:v>Bois traité</c:v>
                </c:pt>
                <c:pt idx="10">
                  <c:v>Déchets OREA</c:v>
                </c:pt>
                <c:pt idx="11">
                  <c:v>Déchets inertes</c:v>
                </c:pt>
                <c:pt idx="12">
                  <c:v>Déchets spéciaux</c:v>
                </c:pt>
              </c:strCache>
            </c:strRef>
          </c:cat>
          <c:val>
            <c:numRef>
              <c:f>'Résultats Territoire'!$J$39:$J$51</c:f>
              <c:numCache>
                <c:formatCode>_ * #\ ##0.0_)_ ;_ * \(#\ ##0.0\)_ ;_ * "-"??_)_ ;_ @_ </c:formatCode>
                <c:ptCount val="13"/>
                <c:pt idx="0">
                  <c:v>217.42</c:v>
                </c:pt>
                <c:pt idx="1">
                  <c:v>230</c:v>
                </c:pt>
                <c:pt idx="2">
                  <c:v>0</c:v>
                </c:pt>
                <c:pt idx="3">
                  <c:v>95</c:v>
                </c:pt>
                <c:pt idx="4">
                  <c:v>0</c:v>
                </c:pt>
                <c:pt idx="5">
                  <c:v>28</c:v>
                </c:pt>
                <c:pt idx="6">
                  <c:v>70.010000000000005</c:v>
                </c:pt>
                <c:pt idx="7">
                  <c:v>4</c:v>
                </c:pt>
                <c:pt idx="8">
                  <c:v>2</c:v>
                </c:pt>
                <c:pt idx="9">
                  <c:v>100</c:v>
                </c:pt>
                <c:pt idx="10">
                  <c:v>4.28</c:v>
                </c:pt>
                <c:pt idx="11">
                  <c:v>92</c:v>
                </c:pt>
                <c:pt idx="12">
                  <c:v>2.14</c:v>
                </c:pt>
              </c:numCache>
            </c:numRef>
          </c:val>
          <c:extLst>
            <c:ext xmlns:c16="http://schemas.microsoft.com/office/drawing/2014/chart" uri="{C3380CC4-5D6E-409C-BE32-E72D297353CC}">
              <c16:uniqueId val="{00000000-2790-2C40-83D1-C7465CEDA010}"/>
            </c:ext>
          </c:extLst>
        </c:ser>
        <c:dLbls>
          <c:showLegendKey val="0"/>
          <c:showVal val="0"/>
          <c:showCatName val="0"/>
          <c:showSerName val="0"/>
          <c:showPercent val="0"/>
          <c:showBubbleSize val="0"/>
        </c:dLbls>
        <c:gapWidth val="219"/>
        <c:overlap val="-27"/>
        <c:axId val="1857410048"/>
        <c:axId val="1321999136"/>
      </c:barChart>
      <c:catAx>
        <c:axId val="18574100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fr-FR"/>
          </a:p>
        </c:txPr>
        <c:crossAx val="1321999136"/>
        <c:crosses val="autoZero"/>
        <c:auto val="1"/>
        <c:lblAlgn val="ctr"/>
        <c:lblOffset val="100"/>
        <c:noMultiLvlLbl val="0"/>
      </c:catAx>
      <c:valAx>
        <c:axId val="132199913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900" b="0" i="0" u="none" strike="noStrike" kern="1200" baseline="0">
                    <a:solidFill>
                      <a:schemeClr val="tx1"/>
                    </a:solidFill>
                    <a:latin typeface="+mn-lt"/>
                    <a:ea typeface="+mn-ea"/>
                    <a:cs typeface="+mn-cs"/>
                  </a:defRPr>
                </a:pPr>
                <a:r>
                  <a:rPr lang="fr-FR"/>
                  <a:t>Tonnes de déchets</a:t>
                </a:r>
              </a:p>
            </c:rich>
          </c:tx>
          <c:layout>
            <c:manualLayout>
              <c:xMode val="edge"/>
              <c:yMode val="edge"/>
              <c:x val="1.039349187363969E-2"/>
              <c:y val="5.1301151812275438E-2"/>
            </c:manualLayout>
          </c:layout>
          <c:overlay val="0"/>
          <c:spPr>
            <a:noFill/>
            <a:ln>
              <a:noFill/>
            </a:ln>
            <a:effectLst/>
          </c:spPr>
          <c:txPr>
            <a:bodyPr rot="-54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fr-FR"/>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fr-FR"/>
          </a:p>
        </c:txPr>
        <c:crossAx val="185741004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900">
          <a:solidFill>
            <a:schemeClr val="tx1"/>
          </a:solidFill>
        </a:defRPr>
      </a:pPr>
      <a:endParaRPr lang="fr-FR"/>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970201811278281"/>
          <c:y val="5.32449094322004E-2"/>
          <c:w val="0.80904948039292468"/>
          <c:h val="0.7237393400604103"/>
        </c:manualLayout>
      </c:layout>
      <c:barChart>
        <c:barDir val="col"/>
        <c:grouping val="clustered"/>
        <c:varyColors val="0"/>
        <c:ser>
          <c:idx val="0"/>
          <c:order val="0"/>
          <c:tx>
            <c:strRef>
              <c:f>'Résultats Territoire'!$J$23</c:f>
              <c:strCache>
                <c:ptCount val="1"/>
                <c:pt idx="0">
                  <c:v>Émissions</c:v>
                </c:pt>
              </c:strCache>
            </c:strRef>
          </c:tx>
          <c:spPr>
            <a:solidFill>
              <a:schemeClr val="accent1"/>
            </a:solidFill>
            <a:ln>
              <a:noFill/>
            </a:ln>
            <a:effectLst/>
          </c:spPr>
          <c:invertIfNegative val="0"/>
          <c:dPt>
            <c:idx val="1"/>
            <c:invertIfNegative val="0"/>
            <c:bubble3D val="0"/>
            <c:spPr>
              <a:solidFill>
                <a:schemeClr val="accent3"/>
              </a:solidFill>
              <a:ln>
                <a:noFill/>
              </a:ln>
              <a:effectLst/>
            </c:spPr>
            <c:extLst>
              <c:ext xmlns:c16="http://schemas.microsoft.com/office/drawing/2014/chart" uri="{C3380CC4-5D6E-409C-BE32-E72D297353CC}">
                <c16:uniqueId val="{00000005-1D67-6741-80E1-5CE74B4923F3}"/>
              </c:ext>
            </c:extLst>
          </c:dPt>
          <c:dPt>
            <c:idx val="2"/>
            <c:invertIfNegative val="0"/>
            <c:bubble3D val="0"/>
            <c:spPr>
              <a:solidFill>
                <a:schemeClr val="accent2"/>
              </a:solidFill>
              <a:ln>
                <a:noFill/>
              </a:ln>
              <a:effectLst/>
            </c:spPr>
            <c:extLst>
              <c:ext xmlns:c16="http://schemas.microsoft.com/office/drawing/2014/chart" uri="{C3380CC4-5D6E-409C-BE32-E72D297353CC}">
                <c16:uniqueId val="{00000006-1D67-6741-80E1-5CE74B4923F3}"/>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7-1D67-6741-80E1-5CE74B4923F3}"/>
              </c:ext>
            </c:extLst>
          </c:dPt>
          <c:dPt>
            <c:idx val="5"/>
            <c:invertIfNegative val="0"/>
            <c:bubble3D val="0"/>
            <c:spPr>
              <a:solidFill>
                <a:schemeClr val="accent1">
                  <a:lumMod val="50000"/>
                </a:schemeClr>
              </a:solidFill>
              <a:ln>
                <a:noFill/>
              </a:ln>
              <a:effectLst/>
            </c:spPr>
            <c:extLst>
              <c:ext xmlns:c16="http://schemas.microsoft.com/office/drawing/2014/chart" uri="{C3380CC4-5D6E-409C-BE32-E72D297353CC}">
                <c16:uniqueId val="{00000003-1D67-6741-80E1-5CE74B4923F3}"/>
              </c:ext>
            </c:extLst>
          </c:dPt>
          <c:dLbls>
            <c:dLbl>
              <c:idx val="0"/>
              <c:tx>
                <c:rich>
                  <a:bodyPr/>
                  <a:lstStyle/>
                  <a:p>
                    <a:fld id="{07F7D7D9-727F-8B4E-A6E7-56504E84F1A1}" type="CELLRANGE">
                      <a:rPr lang="en-US"/>
                      <a:pPr/>
                      <a:t>[PLAGECELL]</a:t>
                    </a:fld>
                    <a:endParaRPr lang="fr-CH"/>
                  </a:p>
                </c:rich>
              </c:tx>
              <c:dLblPos val="ct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4-1D67-6741-80E1-5CE74B4923F3}"/>
                </c:ext>
              </c:extLst>
            </c:dLbl>
            <c:dLbl>
              <c:idx val="1"/>
              <c:delete val="1"/>
              <c:extLst>
                <c:ext xmlns:c15="http://schemas.microsoft.com/office/drawing/2012/chart" uri="{CE6537A1-D6FC-4f65-9D91-7224C49458BB}"/>
                <c:ext xmlns:c16="http://schemas.microsoft.com/office/drawing/2014/chart" uri="{C3380CC4-5D6E-409C-BE32-E72D297353CC}">
                  <c16:uniqueId val="{00000005-1D67-6741-80E1-5CE74B4923F3}"/>
                </c:ext>
              </c:extLst>
            </c:dLbl>
            <c:dLbl>
              <c:idx val="2"/>
              <c:delete val="1"/>
              <c:extLst>
                <c:ext xmlns:c15="http://schemas.microsoft.com/office/drawing/2012/chart" uri="{CE6537A1-D6FC-4f65-9D91-7224C49458BB}"/>
                <c:ext xmlns:c16="http://schemas.microsoft.com/office/drawing/2014/chart" uri="{C3380CC4-5D6E-409C-BE32-E72D297353CC}">
                  <c16:uniqueId val="{00000006-1D67-6741-80E1-5CE74B4923F3}"/>
                </c:ext>
              </c:extLst>
            </c:dLbl>
            <c:dLbl>
              <c:idx val="3"/>
              <c:delete val="1"/>
              <c:extLst>
                <c:ext xmlns:c15="http://schemas.microsoft.com/office/drawing/2012/chart" uri="{CE6537A1-D6FC-4f65-9D91-7224C49458BB}"/>
                <c:ext xmlns:c16="http://schemas.microsoft.com/office/drawing/2014/chart" uri="{C3380CC4-5D6E-409C-BE32-E72D297353CC}">
                  <c16:uniqueId val="{00000007-1D67-6741-80E1-5CE74B4923F3}"/>
                </c:ext>
              </c:extLst>
            </c:dLbl>
            <c:dLbl>
              <c:idx val="4"/>
              <c:delete val="1"/>
              <c:extLst>
                <c:ext xmlns:c15="http://schemas.microsoft.com/office/drawing/2012/chart" uri="{CE6537A1-D6FC-4f65-9D91-7224C49458BB}"/>
                <c:ext xmlns:c16="http://schemas.microsoft.com/office/drawing/2014/chart" uri="{C3380CC4-5D6E-409C-BE32-E72D297353CC}">
                  <c16:uniqueId val="{00000008-1D67-6741-80E1-5CE74B4923F3}"/>
                </c:ext>
              </c:extLst>
            </c:dLbl>
            <c:dLbl>
              <c:idx val="5"/>
              <c:tx>
                <c:rich>
                  <a:bodyPr/>
                  <a:lstStyle/>
                  <a:p>
                    <a:fld id="{260B62C0-4CE2-44DA-8E6E-166887AD309B}" type="CELLRANGE">
                      <a:rPr lang="fr-CH"/>
                      <a:pPr/>
                      <a:t>[PLAGECELL]</a:t>
                    </a:fld>
                    <a:endParaRPr lang="fr-CH"/>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1D67-6741-80E1-5CE74B4923F3}"/>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fr-FR"/>
              </a:p>
            </c:txPr>
            <c:dLblPos val="ct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Ref>
              <c:f>'Résultats Territoire'!$I$25:$I$30</c:f>
              <c:strCache>
                <c:ptCount val="6"/>
                <c:pt idx="0">
                  <c:v>Voiture</c:v>
                </c:pt>
                <c:pt idx="1">
                  <c:v>Motocycles</c:v>
                </c:pt>
                <c:pt idx="2">
                  <c:v>Train</c:v>
                </c:pt>
                <c:pt idx="3">
                  <c:v>Transports publics</c:v>
                </c:pt>
                <c:pt idx="4">
                  <c:v>Mobilité douce</c:v>
                </c:pt>
                <c:pt idx="5">
                  <c:v>Avion</c:v>
                </c:pt>
              </c:strCache>
            </c:strRef>
          </c:cat>
          <c:val>
            <c:numRef>
              <c:f>'Résultats Territoire'!$J$25:$J$30</c:f>
              <c:numCache>
                <c:formatCode>_ * #\ ##0_)_ ;_ * \(#\ ##0\)_ ;_ * "-"??_)_ ;_ @_ </c:formatCode>
                <c:ptCount val="6"/>
                <c:pt idx="0">
                  <c:v>3263.0775533881756</c:v>
                </c:pt>
                <c:pt idx="1">
                  <c:v>57.906827000000014</c:v>
                </c:pt>
                <c:pt idx="2">
                  <c:v>20.939111999999998</c:v>
                </c:pt>
                <c:pt idx="3">
                  <c:v>36.092224999999999</c:v>
                </c:pt>
                <c:pt idx="4">
                  <c:v>7.0811769</c:v>
                </c:pt>
                <c:pt idx="5">
                  <c:v>1501.8804458</c:v>
                </c:pt>
              </c:numCache>
            </c:numRef>
          </c:val>
          <c:extLst>
            <c:ext xmlns:c15="http://schemas.microsoft.com/office/drawing/2012/chart" uri="{02D57815-91ED-43cb-92C2-25804820EDAC}">
              <c15:datalabelsRange>
                <c15:f>'Résultats Territoire'!$K$25:$K$30</c15:f>
                <c15:dlblRangeCache>
                  <c:ptCount val="6"/>
                  <c:pt idx="0">
                    <c:v>67%</c:v>
                  </c:pt>
                  <c:pt idx="1">
                    <c:v>1%</c:v>
                  </c:pt>
                  <c:pt idx="2">
                    <c:v>0%</c:v>
                  </c:pt>
                  <c:pt idx="3">
                    <c:v>1%</c:v>
                  </c:pt>
                  <c:pt idx="4">
                    <c:v>0%</c:v>
                  </c:pt>
                  <c:pt idx="5">
                    <c:v>31%</c:v>
                  </c:pt>
                </c15:dlblRangeCache>
              </c15:datalabelsRange>
            </c:ext>
            <c:ext xmlns:c16="http://schemas.microsoft.com/office/drawing/2014/chart" uri="{C3380CC4-5D6E-409C-BE32-E72D297353CC}">
              <c16:uniqueId val="{00000000-1D67-6741-80E1-5CE74B4923F3}"/>
            </c:ext>
          </c:extLst>
        </c:ser>
        <c:dLbls>
          <c:dLblPos val="ctr"/>
          <c:showLegendKey val="0"/>
          <c:showVal val="1"/>
          <c:showCatName val="0"/>
          <c:showSerName val="0"/>
          <c:showPercent val="0"/>
          <c:showBubbleSize val="0"/>
        </c:dLbls>
        <c:gapWidth val="150"/>
        <c:axId val="487284896"/>
        <c:axId val="487149296"/>
      </c:barChart>
      <c:lineChart>
        <c:grouping val="standard"/>
        <c:varyColors val="0"/>
        <c:ser>
          <c:idx val="1"/>
          <c:order val="1"/>
          <c:tx>
            <c:strRef>
              <c:f>'Résultats Territoire'!$L$23:$L$24</c:f>
              <c:strCache>
                <c:ptCount val="2"/>
                <c:pt idx="0">
                  <c:v>Kilomètres annuels</c:v>
                </c:pt>
              </c:strCache>
            </c:strRef>
          </c:tx>
          <c:spPr>
            <a:ln w="28575" cap="rnd">
              <a:noFill/>
              <a:round/>
            </a:ln>
            <a:effectLst/>
          </c:spPr>
          <c:marker>
            <c:symbol val="diamond"/>
            <c:size val="7"/>
            <c:spPr>
              <a:solidFill>
                <a:schemeClr val="tx1"/>
              </a:solidFill>
              <a:ln w="9525">
                <a:solidFill>
                  <a:schemeClr val="tx1"/>
                </a:solidFill>
              </a:ln>
              <a:effectLst/>
            </c:spPr>
          </c:marker>
          <c:dLbls>
            <c:delete val="1"/>
          </c:dLbls>
          <c:cat>
            <c:strRef>
              <c:f>'Résultats Territoire'!$I$25:$I$30</c:f>
              <c:strCache>
                <c:ptCount val="6"/>
                <c:pt idx="0">
                  <c:v>Voiture</c:v>
                </c:pt>
                <c:pt idx="1">
                  <c:v>Motocycles</c:v>
                </c:pt>
                <c:pt idx="2">
                  <c:v>Train</c:v>
                </c:pt>
                <c:pt idx="3">
                  <c:v>Transports publics</c:v>
                </c:pt>
                <c:pt idx="4">
                  <c:v>Mobilité douce</c:v>
                </c:pt>
                <c:pt idx="5">
                  <c:v>Avion</c:v>
                </c:pt>
              </c:strCache>
            </c:strRef>
          </c:cat>
          <c:val>
            <c:numRef>
              <c:f>'Résultats Territoire'!$L$25:$L$30</c:f>
              <c:numCache>
                <c:formatCode>_ * #\ ##0_)_ ;_ * \(#\ ##0\)_ ;_ * "-"??_)_ ;_ @_ </c:formatCode>
                <c:ptCount val="6"/>
                <c:pt idx="0">
                  <c:v>19156122.899999999</c:v>
                </c:pt>
                <c:pt idx="1">
                  <c:v>526425.70000000007</c:v>
                </c:pt>
                <c:pt idx="2">
                  <c:v>2326568</c:v>
                </c:pt>
                <c:pt idx="3">
                  <c:v>721844.5</c:v>
                </c:pt>
                <c:pt idx="4">
                  <c:v>1011596.7</c:v>
                </c:pt>
                <c:pt idx="5">
                  <c:v>6919832.5</c:v>
                </c:pt>
              </c:numCache>
            </c:numRef>
          </c:val>
          <c:smooth val="0"/>
          <c:extLst>
            <c:ext xmlns:c16="http://schemas.microsoft.com/office/drawing/2014/chart" uri="{C3380CC4-5D6E-409C-BE32-E72D297353CC}">
              <c16:uniqueId val="{00000001-1D67-6741-80E1-5CE74B4923F3}"/>
            </c:ext>
          </c:extLst>
        </c:ser>
        <c:dLbls>
          <c:dLblPos val="ctr"/>
          <c:showLegendKey val="0"/>
          <c:showVal val="1"/>
          <c:showCatName val="0"/>
          <c:showSerName val="0"/>
          <c:showPercent val="0"/>
          <c:showBubbleSize val="0"/>
        </c:dLbls>
        <c:marker val="1"/>
        <c:smooth val="0"/>
        <c:axId val="520569903"/>
        <c:axId val="1706730160"/>
      </c:lineChart>
      <c:catAx>
        <c:axId val="4872848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fr-FR"/>
          </a:p>
        </c:txPr>
        <c:crossAx val="487149296"/>
        <c:crosses val="autoZero"/>
        <c:auto val="1"/>
        <c:lblAlgn val="ctr"/>
        <c:lblOffset val="100"/>
        <c:noMultiLvlLbl val="0"/>
      </c:catAx>
      <c:valAx>
        <c:axId val="48714929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solidFill>
                    <a:latin typeface="+mn-lt"/>
                    <a:ea typeface="+mn-ea"/>
                    <a:cs typeface="+mn-cs"/>
                  </a:defRPr>
                </a:pPr>
                <a:r>
                  <a:rPr lang="fr-FR"/>
                  <a:t>Tonnes de GES</a:t>
                </a:r>
              </a:p>
            </c:rich>
          </c:tx>
          <c:layout>
            <c:manualLayout>
              <c:xMode val="edge"/>
              <c:yMode val="edge"/>
              <c:x val="8.9928044818438115E-3"/>
              <c:y val="3.2513697129081733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fr-FR"/>
            </a:p>
          </c:txPr>
        </c:title>
        <c:numFmt formatCode="_ * #\ ##0_)_ ;_ * \(#\ ##0\)_ ;_ * &quot;-&quot;??_)_ ;_ @_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fr-FR"/>
          </a:p>
        </c:txPr>
        <c:crossAx val="487284896"/>
        <c:crosses val="autoZero"/>
        <c:crossBetween val="between"/>
      </c:valAx>
      <c:valAx>
        <c:axId val="1706730160"/>
        <c:scaling>
          <c:orientation val="minMax"/>
        </c:scaling>
        <c:delete val="0"/>
        <c:axPos val="r"/>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fr-FR"/>
          </a:p>
        </c:txPr>
        <c:crossAx val="520569903"/>
        <c:crosses val="max"/>
        <c:crossBetween val="between"/>
        <c:dispUnits>
          <c:builtInUnit val="millions"/>
          <c:dispUnitsLbl>
            <c:tx>
              <c:rich>
                <a:bodyPr rot="-5400000" spcFirstLastPara="1" vertOverflow="ellipsis" vert="horz" wrap="square" anchor="ctr" anchorCtr="1"/>
                <a:lstStyle/>
                <a:p>
                  <a:pPr>
                    <a:defRPr sz="1000" b="0" i="0" u="none" strike="noStrike" kern="1200" baseline="0">
                      <a:solidFill>
                        <a:schemeClr val="tx1"/>
                      </a:solidFill>
                      <a:latin typeface="+mn-lt"/>
                      <a:ea typeface="+mn-ea"/>
                      <a:cs typeface="+mn-cs"/>
                    </a:defRPr>
                  </a:pPr>
                  <a:r>
                    <a:rPr lang="fr-FR"/>
                    <a:t>Millions de kilomètres</a:t>
                  </a:r>
                </a:p>
              </c:rich>
            </c:tx>
            <c:spPr>
              <a:noFill/>
              <a:ln>
                <a:noFill/>
              </a:ln>
              <a:effectLst/>
            </c:spPr>
            <c:txPr>
              <a:bodyPr rot="-54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fr-FR"/>
              </a:p>
            </c:txPr>
          </c:dispUnitsLbl>
        </c:dispUnits>
      </c:valAx>
      <c:catAx>
        <c:axId val="520569903"/>
        <c:scaling>
          <c:orientation val="minMax"/>
        </c:scaling>
        <c:delete val="1"/>
        <c:axPos val="b"/>
        <c:numFmt formatCode="General" sourceLinked="1"/>
        <c:majorTickMark val="none"/>
        <c:minorTickMark val="none"/>
        <c:tickLblPos val="nextTo"/>
        <c:crossAx val="1706730160"/>
        <c:crosses val="autoZero"/>
        <c:auto val="1"/>
        <c:lblAlgn val="ctr"/>
        <c:lblOffset val="100"/>
        <c:noMultiLvlLbl val="0"/>
      </c:catAx>
      <c:spPr>
        <a:noFill/>
        <a:ln>
          <a:noFill/>
        </a:ln>
        <a:effectLst/>
      </c:spPr>
    </c:plotArea>
    <c:legend>
      <c:legendPos val="b"/>
      <c:layout>
        <c:manualLayout>
          <c:xMode val="edge"/>
          <c:yMode val="edge"/>
          <c:x val="0.24751210434849638"/>
          <c:y val="0.88909529023184652"/>
          <c:w val="0.5607644812899818"/>
          <c:h val="8.1815100027028145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fr-F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solidFill>
            <a:schemeClr val="tx1"/>
          </a:solidFill>
        </a:defRPr>
      </a:pPr>
      <a:endParaRPr lang="fr-FR"/>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fr-FR"/>
              <a:t>Émissions de GES par catégorie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fr-FR"/>
        </a:p>
      </c:txPr>
    </c:title>
    <c:autoTitleDeleted val="0"/>
    <c:plotArea>
      <c:layout>
        <c:manualLayout>
          <c:layoutTarget val="inner"/>
          <c:xMode val="edge"/>
          <c:yMode val="edge"/>
          <c:x val="7.2104672482783946E-2"/>
          <c:y val="0.13926276895709933"/>
          <c:w val="0.91605550765198152"/>
          <c:h val="0.67928462615672847"/>
        </c:manualLayout>
      </c:layout>
      <c:barChart>
        <c:barDir val="col"/>
        <c:grouping val="clustered"/>
        <c:varyColors val="0"/>
        <c:ser>
          <c:idx val="0"/>
          <c:order val="0"/>
          <c:spPr>
            <a:solidFill>
              <a:schemeClr val="accent1"/>
            </a:solidFill>
            <a:ln>
              <a:noFill/>
            </a:ln>
            <a:effectLst/>
          </c:spPr>
          <c:invertIfNegative val="0"/>
          <c:dPt>
            <c:idx val="0"/>
            <c:invertIfNegative val="0"/>
            <c:bubble3D val="0"/>
            <c:spPr>
              <a:solidFill>
                <a:schemeClr val="accent1">
                  <a:lumMod val="50000"/>
                </a:schemeClr>
              </a:solidFill>
              <a:ln>
                <a:noFill/>
              </a:ln>
              <a:effectLst/>
            </c:spPr>
            <c:extLst>
              <c:ext xmlns:c16="http://schemas.microsoft.com/office/drawing/2014/chart" uri="{C3380CC4-5D6E-409C-BE32-E72D297353CC}">
                <c16:uniqueId val="{00000002-86C4-F14B-BAAD-82145396896D}"/>
              </c:ext>
            </c:extLst>
          </c:dPt>
          <c:dPt>
            <c:idx val="2"/>
            <c:invertIfNegative val="0"/>
            <c:bubble3D val="0"/>
            <c:spPr>
              <a:solidFill>
                <a:srgbClr val="002060"/>
              </a:solidFill>
              <a:ln>
                <a:noFill/>
              </a:ln>
              <a:effectLst/>
            </c:spPr>
            <c:extLst>
              <c:ext xmlns:c16="http://schemas.microsoft.com/office/drawing/2014/chart" uri="{C3380CC4-5D6E-409C-BE32-E72D297353CC}">
                <c16:uniqueId val="{00000006-86C4-F14B-BAAD-82145396896D}"/>
              </c:ext>
            </c:extLst>
          </c:dPt>
          <c:dPt>
            <c:idx val="3"/>
            <c:invertIfNegative val="0"/>
            <c:bubble3D val="0"/>
            <c:spPr>
              <a:solidFill>
                <a:schemeClr val="accent5"/>
              </a:solidFill>
              <a:ln>
                <a:noFill/>
              </a:ln>
              <a:effectLst/>
            </c:spPr>
            <c:extLst>
              <c:ext xmlns:c16="http://schemas.microsoft.com/office/drawing/2014/chart" uri="{C3380CC4-5D6E-409C-BE32-E72D297353CC}">
                <c16:uniqueId val="{00000003-86C4-F14B-BAAD-82145396896D}"/>
              </c:ext>
            </c:extLst>
          </c:dPt>
          <c:dPt>
            <c:idx val="4"/>
            <c:invertIfNegative val="0"/>
            <c:bubble3D val="0"/>
            <c:spPr>
              <a:solidFill>
                <a:srgbClr val="C00000"/>
              </a:solidFill>
              <a:ln>
                <a:noFill/>
              </a:ln>
              <a:effectLst/>
            </c:spPr>
            <c:extLst>
              <c:ext xmlns:c16="http://schemas.microsoft.com/office/drawing/2014/chart" uri="{C3380CC4-5D6E-409C-BE32-E72D297353CC}">
                <c16:uniqueId val="{00000004-86C4-F14B-BAAD-82145396896D}"/>
              </c:ext>
            </c:extLst>
          </c:dPt>
          <c:dPt>
            <c:idx val="5"/>
            <c:invertIfNegative val="0"/>
            <c:bubble3D val="0"/>
            <c:spPr>
              <a:solidFill>
                <a:srgbClr val="FFC000"/>
              </a:solidFill>
              <a:ln>
                <a:noFill/>
              </a:ln>
              <a:effectLst/>
            </c:spPr>
            <c:extLst>
              <c:ext xmlns:c16="http://schemas.microsoft.com/office/drawing/2014/chart" uri="{C3380CC4-5D6E-409C-BE32-E72D297353CC}">
                <c16:uniqueId val="{00000005-86C4-F14B-BAAD-82145396896D}"/>
              </c:ext>
            </c:extLst>
          </c:dPt>
          <c:dLbls>
            <c:dLbl>
              <c:idx val="0"/>
              <c:tx>
                <c:rich>
                  <a:bodyPr/>
                  <a:lstStyle/>
                  <a:p>
                    <a:fld id="{971420DD-5DE4-E54B-8C68-3710374F4144}" type="CELLRANGE">
                      <a:rPr lang="en-US"/>
                      <a:pPr/>
                      <a:t>[PLAGECELL]</a:t>
                    </a:fld>
                    <a:endParaRPr lang="fr-CH"/>
                  </a:p>
                </c:rich>
              </c:tx>
              <c:dLblPos val="outEnd"/>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2-86C4-F14B-BAAD-82145396896D}"/>
                </c:ext>
              </c:extLst>
            </c:dLbl>
            <c:dLbl>
              <c:idx val="1"/>
              <c:tx>
                <c:rich>
                  <a:bodyPr/>
                  <a:lstStyle/>
                  <a:p>
                    <a:fld id="{B31FC25B-8830-49A9-AFEA-262DE10B621B}" type="CELLRANGE">
                      <a:rPr lang="fr-CH"/>
                      <a:pPr/>
                      <a:t>[PLAGECELL]</a:t>
                    </a:fld>
                    <a:endParaRPr lang="fr-CH"/>
                  </a:p>
                </c:rich>
              </c:tx>
              <c:dLblPos val="out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86C4-F14B-BAAD-82145396896D}"/>
                </c:ext>
              </c:extLst>
            </c:dLbl>
            <c:dLbl>
              <c:idx val="2"/>
              <c:tx>
                <c:rich>
                  <a:bodyPr/>
                  <a:lstStyle/>
                  <a:p>
                    <a:fld id="{673F5CCD-82FB-453A-9D1A-77F05831F8A8}" type="CELLRANGE">
                      <a:rPr lang="fr-CH"/>
                      <a:pPr/>
                      <a:t>[PLAGECELL]</a:t>
                    </a:fld>
                    <a:endParaRPr lang="fr-CH"/>
                  </a:p>
                </c:rich>
              </c:tx>
              <c:dLblPos val="out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6-86C4-F14B-BAAD-82145396896D}"/>
                </c:ext>
              </c:extLst>
            </c:dLbl>
            <c:dLbl>
              <c:idx val="3"/>
              <c:tx>
                <c:rich>
                  <a:bodyPr/>
                  <a:lstStyle/>
                  <a:p>
                    <a:fld id="{344D72BE-C3DD-4CF8-91C0-562A8D0142F4}" type="CELLRANGE">
                      <a:rPr lang="fr-CH"/>
                      <a:pPr/>
                      <a:t>[PLAGECELL]</a:t>
                    </a:fld>
                    <a:endParaRPr lang="fr-CH"/>
                  </a:p>
                </c:rich>
              </c:tx>
              <c:dLblPos val="out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86C4-F14B-BAAD-82145396896D}"/>
                </c:ext>
              </c:extLst>
            </c:dLbl>
            <c:dLbl>
              <c:idx val="4"/>
              <c:tx>
                <c:rich>
                  <a:bodyPr/>
                  <a:lstStyle/>
                  <a:p>
                    <a:fld id="{77E21CA3-2560-4AA6-9D52-37171AF5C2A3}" type="CELLRANGE">
                      <a:rPr lang="fr-CH"/>
                      <a:pPr/>
                      <a:t>[PLAGECELL]</a:t>
                    </a:fld>
                    <a:endParaRPr lang="fr-CH"/>
                  </a:p>
                </c:rich>
              </c:tx>
              <c:dLblPos val="out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86C4-F14B-BAAD-82145396896D}"/>
                </c:ext>
              </c:extLst>
            </c:dLbl>
            <c:dLbl>
              <c:idx val="5"/>
              <c:tx>
                <c:rich>
                  <a:bodyPr/>
                  <a:lstStyle/>
                  <a:p>
                    <a:fld id="{23237695-11DD-4891-996F-9C0FC9338CCB}" type="CELLRANGE">
                      <a:rPr lang="fr-CH"/>
                      <a:pPr/>
                      <a:t>[PLAGECELL]</a:t>
                    </a:fld>
                    <a:endParaRPr lang="fr-CH"/>
                  </a:p>
                </c:rich>
              </c:tx>
              <c:dLblPos val="out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86C4-F14B-BAAD-82145396896D}"/>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solidFill>
                    <a:latin typeface="+mn-lt"/>
                    <a:ea typeface="+mn-ea"/>
                    <a:cs typeface="+mn-cs"/>
                  </a:defRPr>
                </a:pPr>
                <a:endParaRPr lang="fr-FR"/>
              </a:p>
            </c:txPr>
            <c:dLblPos val="outEnd"/>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Ref>
              <c:f>('Résultats Territoire'!$B$5,'Résultats Territoire'!$B$8,'Résultats Territoire'!$B$11,'Résultats Territoire'!$B$14,'Résultats Territoire'!$B$18,'Résultats Territoire'!$B$19)</c:f>
              <c:strCache>
                <c:ptCount val="6"/>
                <c:pt idx="0">
                  <c:v>Énergie</c:v>
                </c:pt>
                <c:pt idx="1">
                  <c:v>Mobilité</c:v>
                </c:pt>
                <c:pt idx="2">
                  <c:v>Gestion et traitements des déchets et eaux usées</c:v>
                </c:pt>
                <c:pt idx="3">
                  <c:v>Agriculture et affectation du sol et du territoire</c:v>
                </c:pt>
                <c:pt idx="4">
                  <c:v>Construction et infrastructures</c:v>
                </c:pt>
                <c:pt idx="5">
                  <c:v>Consommation</c:v>
                </c:pt>
              </c:strCache>
            </c:strRef>
          </c:cat>
          <c:val>
            <c:numRef>
              <c:f>('Résultats Territoire'!$C$5,'Résultats Territoire'!$C$8,'Résultats Territoire'!$C$11,'Résultats Territoire'!$C$14,'Résultats Territoire'!$C$18,'Résultats Territoire'!$C$19)</c:f>
              <c:numCache>
                <c:formatCode>_ * #\ ##0_)_ ;_ * \(#\ ##0\)_ ;_ * "-"??_)_ ;_ @_ </c:formatCode>
                <c:ptCount val="6"/>
                <c:pt idx="0">
                  <c:v>2962.0556707265864</c:v>
                </c:pt>
                <c:pt idx="1">
                  <c:v>4886.977340088175</c:v>
                </c:pt>
                <c:pt idx="2">
                  <c:v>-68.457175063799994</c:v>
                </c:pt>
                <c:pt idx="3" formatCode="_ * #\ ##0_)_ ;_ * \-#\ ##0_ ;_ * &quot;-&quot;??_)_ ;_ @_ ">
                  <c:v>390.73699549338869</c:v>
                </c:pt>
                <c:pt idx="4">
                  <c:v>2376.2550000000001</c:v>
                </c:pt>
                <c:pt idx="5">
                  <c:v>7487.698877263053</c:v>
                </c:pt>
              </c:numCache>
            </c:numRef>
          </c:val>
          <c:extLst>
            <c:ext xmlns:c15="http://schemas.microsoft.com/office/drawing/2012/chart" uri="{02D57815-91ED-43cb-92C2-25804820EDAC}">
              <c15:datalabelsRange>
                <c15:f>('Résultats Territoire'!$F$5,'Résultats Territoire'!$F$8,'Résultats Territoire'!$F$11,'Résultats Territoire'!$F$14,'Résultats Territoire'!$F$18,'Résultats Territoire'!$F$19)</c15:f>
                <c15:dlblRangeCache>
                  <c:ptCount val="6"/>
                  <c:pt idx="0">
                    <c:v>16%</c:v>
                  </c:pt>
                  <c:pt idx="1">
                    <c:v>27%</c:v>
                  </c:pt>
                  <c:pt idx="2">
                    <c:v>0%</c:v>
                  </c:pt>
                  <c:pt idx="3">
                    <c:v>2%</c:v>
                  </c:pt>
                  <c:pt idx="4">
                    <c:v>13%</c:v>
                  </c:pt>
                  <c:pt idx="5">
                    <c:v>42%</c:v>
                  </c:pt>
                </c15:dlblRangeCache>
              </c15:datalabelsRange>
            </c:ext>
            <c:ext xmlns:c16="http://schemas.microsoft.com/office/drawing/2014/chart" uri="{C3380CC4-5D6E-409C-BE32-E72D297353CC}">
              <c16:uniqueId val="{00000000-86C4-F14B-BAAD-82145396896D}"/>
            </c:ext>
          </c:extLst>
        </c:ser>
        <c:dLbls>
          <c:dLblPos val="outEnd"/>
          <c:showLegendKey val="0"/>
          <c:showVal val="1"/>
          <c:showCatName val="0"/>
          <c:showSerName val="0"/>
          <c:showPercent val="0"/>
          <c:showBubbleSize val="0"/>
        </c:dLbls>
        <c:gapWidth val="161"/>
        <c:overlap val="-9"/>
        <c:axId val="1872829647"/>
        <c:axId val="646837695"/>
      </c:barChart>
      <c:catAx>
        <c:axId val="187282964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1200" b="0" i="0" u="none" strike="noStrike" kern="1200" baseline="0">
                <a:solidFill>
                  <a:schemeClr val="tx1"/>
                </a:solidFill>
                <a:latin typeface="+mn-lt"/>
                <a:ea typeface="+mn-ea"/>
                <a:cs typeface="+mn-cs"/>
              </a:defRPr>
            </a:pPr>
            <a:endParaRPr lang="fr-FR"/>
          </a:p>
        </c:txPr>
        <c:crossAx val="646837695"/>
        <c:crosses val="autoZero"/>
        <c:auto val="1"/>
        <c:lblAlgn val="ctr"/>
        <c:lblOffset val="100"/>
        <c:noMultiLvlLbl val="0"/>
      </c:catAx>
      <c:valAx>
        <c:axId val="646837695"/>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solidFill>
                    <a:latin typeface="+mn-lt"/>
                    <a:ea typeface="+mn-ea"/>
                    <a:cs typeface="+mn-cs"/>
                  </a:defRPr>
                </a:pPr>
                <a:r>
                  <a:rPr lang="fr-FR"/>
                  <a:t>Tonnes de</a:t>
                </a:r>
                <a:r>
                  <a:rPr lang="fr-FR" baseline="0"/>
                  <a:t> GES</a:t>
                </a:r>
                <a:endParaRPr lang="fr-FR"/>
              </a:p>
            </c:rich>
          </c:tx>
          <c:layout>
            <c:manualLayout>
              <c:xMode val="edge"/>
              <c:yMode val="edge"/>
              <c:x val="8.6074092850224986E-3"/>
              <c:y val="0.12824000187514448"/>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fr-FR"/>
            </a:p>
          </c:txPr>
        </c:title>
        <c:numFmt formatCode="_ * #\ ##0_)_ ;_ * \(#\ ##0\)_ ;_ * &quot;-&quot;??_)_ ;_ @_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fr-FR"/>
          </a:p>
        </c:txPr>
        <c:crossAx val="1872829647"/>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solidFill>
            <a:schemeClr val="tx1"/>
          </a:solidFill>
        </a:defRPr>
      </a:pPr>
      <a:endParaRPr lang="fr-FR"/>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rot="0" spcFirstLastPara="1" vertOverflow="ellipsis" vert="horz" wrap="square" anchor="ctr" anchorCtr="1"/>
          <a:lstStyle/>
          <a:p>
            <a:pPr>
              <a:defRPr sz="1440" b="0" i="0" u="none" strike="noStrike" kern="1200" spc="0" baseline="0">
                <a:solidFill>
                  <a:schemeClr val="bg2">
                    <a:lumMod val="10000"/>
                  </a:schemeClr>
                </a:solidFill>
                <a:latin typeface="+mn-lt"/>
                <a:ea typeface="+mn-ea"/>
                <a:cs typeface="+mn-cs"/>
              </a:defRPr>
            </a:pPr>
            <a:r>
              <a:rPr lang="fr-FR"/>
              <a:t>Émissions de GES par catégorie</a:t>
            </a:r>
            <a:endParaRPr lang="fr-CH"/>
          </a:p>
        </c:rich>
      </c:tx>
      <c:overlay val="0"/>
      <c:spPr>
        <a:noFill/>
        <a:ln>
          <a:noFill/>
        </a:ln>
        <a:effectLst/>
      </c:spPr>
      <c:txPr>
        <a:bodyPr rot="0" spcFirstLastPara="1" vertOverflow="ellipsis" vert="horz" wrap="square" anchor="ctr" anchorCtr="1"/>
        <a:lstStyle/>
        <a:p>
          <a:pPr>
            <a:defRPr sz="1440" b="0" i="0" u="none" strike="noStrike" kern="1200" spc="0" baseline="0">
              <a:solidFill>
                <a:schemeClr val="bg2">
                  <a:lumMod val="10000"/>
                </a:schemeClr>
              </a:solidFill>
              <a:latin typeface="+mn-lt"/>
              <a:ea typeface="+mn-ea"/>
              <a:cs typeface="+mn-cs"/>
            </a:defRPr>
          </a:pPr>
          <a:endParaRPr lang="fr-FR"/>
        </a:p>
      </c:txPr>
    </c:title>
    <c:autoTitleDeleted val="0"/>
    <c:plotArea>
      <c:layout>
        <c:manualLayout>
          <c:layoutTarget val="inner"/>
          <c:xMode val="edge"/>
          <c:yMode val="edge"/>
          <c:x val="4.638017262767527E-2"/>
          <c:y val="0.1739585156022164"/>
          <c:w val="0.93209412256303781"/>
          <c:h val="0.3977470049253552"/>
        </c:manualLayout>
      </c:layout>
      <c:barChart>
        <c:barDir val="bar"/>
        <c:grouping val="stacked"/>
        <c:varyColors val="0"/>
        <c:ser>
          <c:idx val="0"/>
          <c:order val="0"/>
          <c:tx>
            <c:strRef>
              <c:f>'Résultats Administration'!$B$5</c:f>
              <c:strCache>
                <c:ptCount val="1"/>
                <c:pt idx="0">
                  <c:v>Énergie</c:v>
                </c:pt>
              </c:strCache>
            </c:strRef>
          </c:tx>
          <c:spPr>
            <a:solidFill>
              <a:schemeClr val="accent1">
                <a:shade val="53000"/>
              </a:schemeClr>
            </a:solidFill>
            <a:ln>
              <a:noFill/>
            </a:ln>
            <a:effectLst/>
          </c:spPr>
          <c:invertIfNegative val="0"/>
          <c:cat>
            <c:strRef>
              <c:f>'Résultats Administration'!$C$1</c:f>
              <c:strCache>
                <c:ptCount val="1"/>
                <c:pt idx="0">
                  <c:v>Le Vaud</c:v>
                </c:pt>
              </c:strCache>
            </c:strRef>
          </c:cat>
          <c:val>
            <c:numRef>
              <c:f>'Résultats Administration'!$C$5</c:f>
              <c:numCache>
                <c:formatCode>_ * #\ ##0_)_ ;_ * \(#\ ##0\)_ ;_ * "-"??_)_ ;_ @_ </c:formatCode>
                <c:ptCount val="1"/>
                <c:pt idx="0">
                  <c:v>128.33279160422282</c:v>
                </c:pt>
              </c:numCache>
            </c:numRef>
          </c:val>
          <c:extLst>
            <c:ext xmlns:c16="http://schemas.microsoft.com/office/drawing/2014/chart" uri="{C3380CC4-5D6E-409C-BE32-E72D297353CC}">
              <c16:uniqueId val="{00000000-2536-7440-9BE3-ABFD27BEA841}"/>
            </c:ext>
          </c:extLst>
        </c:ser>
        <c:ser>
          <c:idx val="1"/>
          <c:order val="1"/>
          <c:tx>
            <c:strRef>
              <c:f>'Résultats Administration'!$B$13</c:f>
              <c:strCache>
                <c:ptCount val="1"/>
                <c:pt idx="0">
                  <c:v>Déplacements pendulaires des employé.e.s communaux.ales</c:v>
                </c:pt>
              </c:strCache>
            </c:strRef>
          </c:tx>
          <c:spPr>
            <a:solidFill>
              <a:schemeClr val="accent1">
                <a:shade val="76000"/>
              </a:schemeClr>
            </a:solidFill>
            <a:ln>
              <a:noFill/>
            </a:ln>
            <a:effectLst/>
          </c:spPr>
          <c:invertIfNegative val="0"/>
          <c:cat>
            <c:strRef>
              <c:f>'Résultats Administration'!$C$1</c:f>
              <c:strCache>
                <c:ptCount val="1"/>
                <c:pt idx="0">
                  <c:v>Le Vaud</c:v>
                </c:pt>
              </c:strCache>
            </c:strRef>
          </c:cat>
          <c:val>
            <c:numRef>
              <c:f>'Résultats Administration'!$C$13</c:f>
              <c:numCache>
                <c:formatCode>_ * #\ ##0_)_ ;_ * \(#\ ##0\)_ ;_ * "-"??_)_ ;_ @_ </c:formatCode>
                <c:ptCount val="1"/>
                <c:pt idx="0">
                  <c:v>15.079936778841992</c:v>
                </c:pt>
              </c:numCache>
            </c:numRef>
          </c:val>
          <c:extLst>
            <c:ext xmlns:c16="http://schemas.microsoft.com/office/drawing/2014/chart" uri="{C3380CC4-5D6E-409C-BE32-E72D297353CC}">
              <c16:uniqueId val="{00000002-2536-7440-9BE3-ABFD27BEA841}"/>
            </c:ext>
          </c:extLst>
        </c:ser>
        <c:ser>
          <c:idx val="4"/>
          <c:order val="2"/>
          <c:tx>
            <c:strRef>
              <c:f>'Résultats Administration'!$B$19</c:f>
              <c:strCache>
                <c:ptCount val="1"/>
                <c:pt idx="0">
                  <c:v>Déplacements professionels des employé.e.s communaux.ales</c:v>
                </c:pt>
              </c:strCache>
            </c:strRef>
          </c:tx>
          <c:spPr>
            <a:solidFill>
              <a:schemeClr val="accent1">
                <a:tint val="54000"/>
              </a:schemeClr>
            </a:solidFill>
            <a:ln>
              <a:noFill/>
            </a:ln>
            <a:effectLst/>
          </c:spPr>
          <c:invertIfNegative val="0"/>
          <c:val>
            <c:numRef>
              <c:f>'Résultats Administration'!$C$19</c:f>
              <c:numCache>
                <c:formatCode>_ * #\ ##0_)_ ;_ * \(#\ ##0\)_ ;_ * "-"??_)_ ;_ @_ </c:formatCode>
                <c:ptCount val="1"/>
                <c:pt idx="0">
                  <c:v>9.1365816069284023</c:v>
                </c:pt>
              </c:numCache>
            </c:numRef>
          </c:val>
          <c:extLst>
            <c:ext xmlns:c16="http://schemas.microsoft.com/office/drawing/2014/chart" uri="{C3380CC4-5D6E-409C-BE32-E72D297353CC}">
              <c16:uniqueId val="{00000001-120A-3D4A-98C1-B6914318D945}"/>
            </c:ext>
          </c:extLst>
        </c:ser>
        <c:ser>
          <c:idx val="2"/>
          <c:order val="3"/>
          <c:tx>
            <c:strRef>
              <c:f>'Résultats Administration'!$B$24</c:f>
              <c:strCache>
                <c:ptCount val="1"/>
                <c:pt idx="0">
                  <c:v>Construction et infrastructure</c:v>
                </c:pt>
              </c:strCache>
            </c:strRef>
          </c:tx>
          <c:spPr>
            <a:solidFill>
              <a:schemeClr val="accent1"/>
            </a:solidFill>
            <a:ln>
              <a:noFill/>
            </a:ln>
            <a:effectLst/>
          </c:spPr>
          <c:invertIfNegative val="0"/>
          <c:cat>
            <c:strRef>
              <c:f>'Résultats Administration'!$C$1</c:f>
              <c:strCache>
                <c:ptCount val="1"/>
                <c:pt idx="0">
                  <c:v>Le Vaud</c:v>
                </c:pt>
              </c:strCache>
            </c:strRef>
          </c:cat>
          <c:val>
            <c:numRef>
              <c:f>'Résultats Administration'!$C$24</c:f>
              <c:numCache>
                <c:formatCode>_ * #\ ##0_)_ ;_ * \(#\ ##0\)_ ;_ * "-"??_)_ ;_ @_ </c:formatCode>
                <c:ptCount val="1"/>
                <c:pt idx="0">
                  <c:v>196</c:v>
                </c:pt>
              </c:numCache>
            </c:numRef>
          </c:val>
          <c:extLst>
            <c:ext xmlns:c16="http://schemas.microsoft.com/office/drawing/2014/chart" uri="{C3380CC4-5D6E-409C-BE32-E72D297353CC}">
              <c16:uniqueId val="{00000003-2536-7440-9BE3-ABFD27BEA841}"/>
            </c:ext>
          </c:extLst>
        </c:ser>
        <c:ser>
          <c:idx val="3"/>
          <c:order val="4"/>
          <c:tx>
            <c:strRef>
              <c:f>'Résultats Administration'!$B$28</c:f>
              <c:strCache>
                <c:ptCount val="1"/>
                <c:pt idx="0">
                  <c:v>Achats de l'administration</c:v>
                </c:pt>
              </c:strCache>
            </c:strRef>
          </c:tx>
          <c:spPr>
            <a:solidFill>
              <a:schemeClr val="accent1">
                <a:tint val="77000"/>
              </a:schemeClr>
            </a:solidFill>
            <a:ln>
              <a:noFill/>
            </a:ln>
            <a:effectLst/>
          </c:spPr>
          <c:invertIfNegative val="0"/>
          <c:cat>
            <c:strRef>
              <c:f>'Résultats Administration'!$C$1</c:f>
              <c:strCache>
                <c:ptCount val="1"/>
                <c:pt idx="0">
                  <c:v>Le Vaud</c:v>
                </c:pt>
              </c:strCache>
            </c:strRef>
          </c:cat>
          <c:val>
            <c:numRef>
              <c:f>'Résultats Administration'!$C$28</c:f>
              <c:numCache>
                <c:formatCode>_ * #\ ##0_)_ ;_ * \(#\ ##0\)_ ;_ * "-"??_)_ ;_ @_ </c:formatCode>
                <c:ptCount val="1"/>
                <c:pt idx="0">
                  <c:v>38.733446481399994</c:v>
                </c:pt>
              </c:numCache>
            </c:numRef>
          </c:val>
          <c:extLst>
            <c:ext xmlns:c16="http://schemas.microsoft.com/office/drawing/2014/chart" uri="{C3380CC4-5D6E-409C-BE32-E72D297353CC}">
              <c16:uniqueId val="{00000004-2536-7440-9BE3-ABFD27BEA841}"/>
            </c:ext>
          </c:extLst>
        </c:ser>
        <c:dLbls>
          <c:showLegendKey val="0"/>
          <c:showVal val="0"/>
          <c:showCatName val="0"/>
          <c:showSerName val="0"/>
          <c:showPercent val="0"/>
          <c:showBubbleSize val="0"/>
        </c:dLbls>
        <c:gapWidth val="150"/>
        <c:overlap val="100"/>
        <c:axId val="122766751"/>
        <c:axId val="122822415"/>
      </c:barChart>
      <c:catAx>
        <c:axId val="122766751"/>
        <c:scaling>
          <c:orientation val="minMax"/>
        </c:scaling>
        <c:delete val="1"/>
        <c:axPos val="l"/>
        <c:numFmt formatCode="General" sourceLinked="1"/>
        <c:majorTickMark val="none"/>
        <c:minorTickMark val="none"/>
        <c:tickLblPos val="nextTo"/>
        <c:crossAx val="122822415"/>
        <c:crosses val="autoZero"/>
        <c:auto val="1"/>
        <c:lblAlgn val="ctr"/>
        <c:lblOffset val="100"/>
        <c:noMultiLvlLbl val="0"/>
      </c:catAx>
      <c:valAx>
        <c:axId val="122822415"/>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200" b="0" i="0" u="none" strike="noStrike" kern="1200" baseline="0">
                    <a:solidFill>
                      <a:schemeClr val="bg2">
                        <a:lumMod val="10000"/>
                      </a:schemeClr>
                    </a:solidFill>
                    <a:latin typeface="+mn-lt"/>
                    <a:ea typeface="+mn-ea"/>
                    <a:cs typeface="+mn-cs"/>
                  </a:defRPr>
                </a:pPr>
                <a:r>
                  <a:rPr lang="fr-FR"/>
                  <a:t>Tonnes de GES</a:t>
                </a:r>
              </a:p>
            </c:rich>
          </c:tx>
          <c:layout>
            <c:manualLayout>
              <c:xMode val="edge"/>
              <c:yMode val="edge"/>
              <c:x val="0.90753996395825698"/>
              <c:y val="0.66239911758602987"/>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bg2">
                      <a:lumMod val="10000"/>
                    </a:schemeClr>
                  </a:solidFill>
                  <a:latin typeface="+mn-lt"/>
                  <a:ea typeface="+mn-ea"/>
                  <a:cs typeface="+mn-cs"/>
                </a:defRPr>
              </a:pPr>
              <a:endParaRPr lang="fr-FR"/>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bg2">
                    <a:lumMod val="10000"/>
                  </a:schemeClr>
                </a:solidFill>
                <a:latin typeface="+mn-lt"/>
                <a:ea typeface="+mn-ea"/>
                <a:cs typeface="+mn-cs"/>
              </a:defRPr>
            </a:pPr>
            <a:endParaRPr lang="fr-FR"/>
          </a:p>
        </c:txPr>
        <c:crossAx val="122766751"/>
        <c:crosses val="autoZero"/>
        <c:crossBetween val="between"/>
      </c:valAx>
      <c:spPr>
        <a:noFill/>
        <a:ln>
          <a:noFill/>
        </a:ln>
        <a:effectLst/>
      </c:spPr>
    </c:plotArea>
    <c:legend>
      <c:legendPos val="b"/>
      <c:layout>
        <c:manualLayout>
          <c:xMode val="edge"/>
          <c:yMode val="edge"/>
          <c:x val="2.1267499867301642E-2"/>
          <c:y val="0.76629472597976522"/>
          <c:w val="0.96485416668479485"/>
          <c:h val="0.23370529542585802"/>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bg2">
                  <a:lumMod val="10000"/>
                </a:schemeClr>
              </a:solidFill>
              <a:latin typeface="+mn-lt"/>
              <a:ea typeface="+mn-ea"/>
              <a:cs typeface="+mn-cs"/>
            </a:defRPr>
          </a:pPr>
          <a:endParaRPr lang="fr-F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200">
          <a:solidFill>
            <a:schemeClr val="bg2">
              <a:lumMod val="10000"/>
            </a:schemeClr>
          </a:solidFill>
        </a:defRPr>
      </a:pPr>
      <a:endParaRPr lang="fr-FR"/>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'Résultats Territoire'!$I$8</c:f>
              <c:strCache>
                <c:ptCount val="1"/>
                <c:pt idx="0">
                  <c:v>Mazout</c:v>
                </c:pt>
              </c:strCache>
            </c:strRef>
          </c:tx>
          <c:spPr>
            <a:solidFill>
              <a:schemeClr val="accent1"/>
            </a:solidFill>
            <a:ln>
              <a:noFill/>
            </a:ln>
            <a:effectLst/>
          </c:spPr>
          <c:invertIfNegative val="0"/>
          <c:val>
            <c:numRef>
              <c:f>'Résultats Territoire'!$L$8</c:f>
              <c:numCache>
                <c:formatCode>0%</c:formatCode>
                <c:ptCount val="1"/>
                <c:pt idx="0">
                  <c:v>0.66048142100388696</c:v>
                </c:pt>
              </c:numCache>
            </c:numRef>
          </c:val>
          <c:extLst>
            <c:ext xmlns:c16="http://schemas.microsoft.com/office/drawing/2014/chart" uri="{C3380CC4-5D6E-409C-BE32-E72D297353CC}">
              <c16:uniqueId val="{00000000-C972-404E-AF6E-D9754F500B75}"/>
            </c:ext>
          </c:extLst>
        </c:ser>
        <c:ser>
          <c:idx val="1"/>
          <c:order val="1"/>
          <c:tx>
            <c:strRef>
              <c:f>'Résultats Territoire'!$I$9</c:f>
              <c:strCache>
                <c:ptCount val="1"/>
                <c:pt idx="0">
                  <c:v>Gaz naturel</c:v>
                </c:pt>
              </c:strCache>
            </c:strRef>
          </c:tx>
          <c:spPr>
            <a:solidFill>
              <a:schemeClr val="accent2"/>
            </a:solidFill>
            <a:ln>
              <a:noFill/>
            </a:ln>
            <a:effectLst/>
          </c:spPr>
          <c:invertIfNegative val="0"/>
          <c:val>
            <c:numRef>
              <c:f>'Résultats Territoire'!$L$9</c:f>
              <c:numCache>
                <c:formatCode>0%</c:formatCode>
                <c:ptCount val="1"/>
                <c:pt idx="0">
                  <c:v>0</c:v>
                </c:pt>
              </c:numCache>
            </c:numRef>
          </c:val>
          <c:extLst>
            <c:ext xmlns:c16="http://schemas.microsoft.com/office/drawing/2014/chart" uri="{C3380CC4-5D6E-409C-BE32-E72D297353CC}">
              <c16:uniqueId val="{00000001-C972-404E-AF6E-D9754F500B75}"/>
            </c:ext>
          </c:extLst>
        </c:ser>
        <c:ser>
          <c:idx val="2"/>
          <c:order val="2"/>
          <c:tx>
            <c:strRef>
              <c:f>'Résultats Territoire'!$I$10</c:f>
              <c:strCache>
                <c:ptCount val="1"/>
                <c:pt idx="0">
                  <c:v>Bois (bûches, copeaux, pellets)</c:v>
                </c:pt>
              </c:strCache>
            </c:strRef>
          </c:tx>
          <c:spPr>
            <a:solidFill>
              <a:schemeClr val="accent3"/>
            </a:solidFill>
            <a:ln>
              <a:noFill/>
            </a:ln>
            <a:effectLst/>
          </c:spPr>
          <c:invertIfNegative val="0"/>
          <c:val>
            <c:numRef>
              <c:f>'Résultats Territoire'!$L$10</c:f>
              <c:numCache>
                <c:formatCode>0%</c:formatCode>
                <c:ptCount val="1"/>
                <c:pt idx="0">
                  <c:v>1.4255218113755812E-2</c:v>
                </c:pt>
              </c:numCache>
            </c:numRef>
          </c:val>
          <c:extLst>
            <c:ext xmlns:c16="http://schemas.microsoft.com/office/drawing/2014/chart" uri="{C3380CC4-5D6E-409C-BE32-E72D297353CC}">
              <c16:uniqueId val="{00000002-C972-404E-AF6E-D9754F500B75}"/>
            </c:ext>
          </c:extLst>
        </c:ser>
        <c:ser>
          <c:idx val="3"/>
          <c:order val="3"/>
          <c:tx>
            <c:strRef>
              <c:f>'Résultats Territoire'!$I$11</c:f>
              <c:strCache>
                <c:ptCount val="1"/>
                <c:pt idx="0">
                  <c:v>Solaire thermique</c:v>
                </c:pt>
              </c:strCache>
            </c:strRef>
          </c:tx>
          <c:spPr>
            <a:solidFill>
              <a:schemeClr val="accent4"/>
            </a:solidFill>
            <a:ln>
              <a:noFill/>
            </a:ln>
            <a:effectLst/>
          </c:spPr>
          <c:invertIfNegative val="0"/>
          <c:val>
            <c:numRef>
              <c:f>'Résultats Territoire'!$L$11</c:f>
              <c:numCache>
                <c:formatCode>0%</c:formatCode>
                <c:ptCount val="1"/>
                <c:pt idx="0">
                  <c:v>5.8874496426065688E-4</c:v>
                </c:pt>
              </c:numCache>
            </c:numRef>
          </c:val>
          <c:extLst>
            <c:ext xmlns:c16="http://schemas.microsoft.com/office/drawing/2014/chart" uri="{C3380CC4-5D6E-409C-BE32-E72D297353CC}">
              <c16:uniqueId val="{00000003-C972-404E-AF6E-D9754F500B75}"/>
            </c:ext>
          </c:extLst>
        </c:ser>
        <c:ser>
          <c:idx val="4"/>
          <c:order val="4"/>
          <c:tx>
            <c:strRef>
              <c:f>'Résultats Territoire'!$I$12</c:f>
              <c:strCache>
                <c:ptCount val="1"/>
                <c:pt idx="0">
                  <c:v>Pompe à chaleur</c:v>
                </c:pt>
              </c:strCache>
            </c:strRef>
          </c:tx>
          <c:spPr>
            <a:solidFill>
              <a:schemeClr val="accent5"/>
            </a:solidFill>
            <a:ln>
              <a:noFill/>
            </a:ln>
            <a:effectLst/>
          </c:spPr>
          <c:invertIfNegative val="0"/>
          <c:val>
            <c:numRef>
              <c:f>'Résultats Territoire'!$L$12</c:f>
              <c:numCache>
                <c:formatCode>0%</c:formatCode>
                <c:ptCount val="1"/>
                <c:pt idx="0">
                  <c:v>9.3853702229862723E-3</c:v>
                </c:pt>
              </c:numCache>
            </c:numRef>
          </c:val>
          <c:extLst>
            <c:ext xmlns:c16="http://schemas.microsoft.com/office/drawing/2014/chart" uri="{C3380CC4-5D6E-409C-BE32-E72D297353CC}">
              <c16:uniqueId val="{00000004-C972-404E-AF6E-D9754F500B75}"/>
            </c:ext>
          </c:extLst>
        </c:ser>
        <c:ser>
          <c:idx val="5"/>
          <c:order val="5"/>
          <c:tx>
            <c:strRef>
              <c:f>'Résultats Territoire'!$I$13</c:f>
              <c:strCache>
                <c:ptCount val="1"/>
                <c:pt idx="0">
                  <c:v>Chauffage à distance</c:v>
                </c:pt>
              </c:strCache>
            </c:strRef>
          </c:tx>
          <c:spPr>
            <a:solidFill>
              <a:schemeClr val="accent6"/>
            </a:solidFill>
            <a:ln>
              <a:noFill/>
            </a:ln>
            <a:effectLst/>
          </c:spPr>
          <c:invertIfNegative val="0"/>
          <c:val>
            <c:numRef>
              <c:f>'Résultats Territoire'!$L$13</c:f>
              <c:numCache>
                <c:formatCode>0%</c:formatCode>
                <c:ptCount val="1"/>
                <c:pt idx="0">
                  <c:v>1.6941313188651404E-3</c:v>
                </c:pt>
              </c:numCache>
            </c:numRef>
          </c:val>
          <c:extLst>
            <c:ext xmlns:c16="http://schemas.microsoft.com/office/drawing/2014/chart" uri="{C3380CC4-5D6E-409C-BE32-E72D297353CC}">
              <c16:uniqueId val="{00000005-C972-404E-AF6E-D9754F500B75}"/>
            </c:ext>
          </c:extLst>
        </c:ser>
        <c:ser>
          <c:idx val="6"/>
          <c:order val="6"/>
          <c:tx>
            <c:strRef>
              <c:f>'Résultats Territoire'!$I$16</c:f>
              <c:strCache>
                <c:ptCount val="1"/>
                <c:pt idx="0">
                  <c:v>Électricité (Hors chaleur)</c:v>
                </c:pt>
              </c:strCache>
            </c:strRef>
          </c:tx>
          <c:spPr>
            <a:solidFill>
              <a:schemeClr val="accent1">
                <a:lumMod val="60000"/>
              </a:schemeClr>
            </a:solidFill>
            <a:ln>
              <a:noFill/>
            </a:ln>
            <a:effectLst/>
          </c:spPr>
          <c:invertIfNegative val="0"/>
          <c:val>
            <c:numRef>
              <c:f>'Résultats Territoire'!$L$16</c:f>
              <c:numCache>
                <c:formatCode>0%</c:formatCode>
                <c:ptCount val="1"/>
                <c:pt idx="0">
                  <c:v>7.4177847431474653E-2</c:v>
                </c:pt>
              </c:numCache>
            </c:numRef>
          </c:val>
          <c:extLst>
            <c:ext xmlns:c16="http://schemas.microsoft.com/office/drawing/2014/chart" uri="{C3380CC4-5D6E-409C-BE32-E72D297353CC}">
              <c16:uniqueId val="{00000006-C972-404E-AF6E-D9754F500B75}"/>
            </c:ext>
          </c:extLst>
        </c:ser>
        <c:ser>
          <c:idx val="7"/>
          <c:order val="7"/>
          <c:tx>
            <c:strRef>
              <c:f>'Résultats Territoire'!$I$15</c:f>
              <c:strCache>
                <c:ptCount val="1"/>
                <c:pt idx="0">
                  <c:v>Autres agents énergétiques (non renseignés)</c:v>
                </c:pt>
              </c:strCache>
            </c:strRef>
          </c:tx>
          <c:spPr>
            <a:solidFill>
              <a:schemeClr val="accent2">
                <a:lumMod val="60000"/>
              </a:schemeClr>
            </a:solidFill>
            <a:ln>
              <a:noFill/>
            </a:ln>
            <a:effectLst/>
          </c:spPr>
          <c:invertIfNegative val="0"/>
          <c:val>
            <c:numRef>
              <c:f>'Résultats Territoire'!$L$15</c:f>
              <c:numCache>
                <c:formatCode>0%</c:formatCode>
                <c:ptCount val="1"/>
                <c:pt idx="0">
                  <c:v>4.3238651921077289E-4</c:v>
                </c:pt>
              </c:numCache>
            </c:numRef>
          </c:val>
          <c:extLst>
            <c:ext xmlns:c16="http://schemas.microsoft.com/office/drawing/2014/chart" uri="{C3380CC4-5D6E-409C-BE32-E72D297353CC}">
              <c16:uniqueId val="{00000007-C972-404E-AF6E-D9754F500B75}"/>
            </c:ext>
          </c:extLst>
        </c:ser>
        <c:dLbls>
          <c:showLegendKey val="0"/>
          <c:showVal val="0"/>
          <c:showCatName val="0"/>
          <c:showSerName val="0"/>
          <c:showPercent val="0"/>
          <c:showBubbleSize val="0"/>
        </c:dLbls>
        <c:gapWidth val="150"/>
        <c:overlap val="100"/>
        <c:axId val="240767967"/>
        <c:axId val="240772607"/>
      </c:barChart>
      <c:catAx>
        <c:axId val="240767967"/>
        <c:scaling>
          <c:orientation val="minMax"/>
        </c:scaling>
        <c:delete val="1"/>
        <c:axPos val="l"/>
        <c:numFmt formatCode="General" sourceLinked="1"/>
        <c:majorTickMark val="none"/>
        <c:minorTickMark val="none"/>
        <c:tickLblPos val="nextTo"/>
        <c:crossAx val="240772607"/>
        <c:crosses val="autoZero"/>
        <c:auto val="1"/>
        <c:lblAlgn val="ctr"/>
        <c:lblOffset val="100"/>
        <c:noMultiLvlLbl val="0"/>
      </c:catAx>
      <c:valAx>
        <c:axId val="240772607"/>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fr-FR"/>
          </a:p>
        </c:txPr>
        <c:crossAx val="240767967"/>
        <c:crosses val="autoZero"/>
        <c:crossBetween val="between"/>
      </c:valAx>
      <c:spPr>
        <a:noFill/>
        <a:ln>
          <a:noFill/>
        </a:ln>
        <a:effectLst/>
      </c:spPr>
    </c:plotArea>
    <c:legend>
      <c:legendPos val="b"/>
      <c:layout>
        <c:manualLayout>
          <c:xMode val="edge"/>
          <c:yMode val="edge"/>
          <c:x val="2.1714702096494998E-2"/>
          <c:y val="0.71098656977387231"/>
          <c:w val="0.96596561570669781"/>
          <c:h val="0.2494134424632357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fr-F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solidFill>
            <a:schemeClr val="bg1"/>
          </a:solidFill>
        </a:defRPr>
      </a:pPr>
      <a:endParaRPr lang="fr-FR"/>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'Résultats Administration'!$I$8</c:f>
              <c:strCache>
                <c:ptCount val="1"/>
                <c:pt idx="0">
                  <c:v>Mazout</c:v>
                </c:pt>
              </c:strCache>
            </c:strRef>
          </c:tx>
          <c:spPr>
            <a:solidFill>
              <a:schemeClr val="accent1"/>
            </a:solidFill>
            <a:ln>
              <a:noFill/>
            </a:ln>
            <a:effectLst/>
          </c:spPr>
          <c:invertIfNegative val="0"/>
          <c:val>
            <c:numRef>
              <c:f>'Résultats Administration'!$J$8</c:f>
              <c:numCache>
                <c:formatCode>_ * #\ ##0_)_ ;_ * \(#\ ##0\)_ ;_ * "-"??_)_ ;_ @_ </c:formatCode>
                <c:ptCount val="1"/>
                <c:pt idx="0">
                  <c:v>96.625500104222809</c:v>
                </c:pt>
              </c:numCache>
            </c:numRef>
          </c:val>
          <c:extLst>
            <c:ext xmlns:c16="http://schemas.microsoft.com/office/drawing/2014/chart" uri="{C3380CC4-5D6E-409C-BE32-E72D297353CC}">
              <c16:uniqueId val="{00000000-1BA8-E948-94A0-2269A884E445}"/>
            </c:ext>
          </c:extLst>
        </c:ser>
        <c:ser>
          <c:idx val="1"/>
          <c:order val="1"/>
          <c:tx>
            <c:strRef>
              <c:f>'Résultats Administration'!$I$9</c:f>
              <c:strCache>
                <c:ptCount val="1"/>
                <c:pt idx="0">
                  <c:v>Gaz naturel</c:v>
                </c:pt>
              </c:strCache>
            </c:strRef>
          </c:tx>
          <c:spPr>
            <a:solidFill>
              <a:schemeClr val="accent2"/>
            </a:solidFill>
            <a:ln>
              <a:noFill/>
            </a:ln>
            <a:effectLst/>
          </c:spPr>
          <c:invertIfNegative val="0"/>
          <c:val>
            <c:numRef>
              <c:f>'Résultats Administration'!$J$9</c:f>
              <c:numCache>
                <c:formatCode>_ * #\ ##0_)_ ;_ * \(#\ ##0\)_ ;_ * "-"??_)_ ;_ @_ </c:formatCode>
                <c:ptCount val="1"/>
                <c:pt idx="0">
                  <c:v>0</c:v>
                </c:pt>
              </c:numCache>
            </c:numRef>
          </c:val>
          <c:extLst>
            <c:ext xmlns:c16="http://schemas.microsoft.com/office/drawing/2014/chart" uri="{C3380CC4-5D6E-409C-BE32-E72D297353CC}">
              <c16:uniqueId val="{00000001-1BA8-E948-94A0-2269A884E445}"/>
            </c:ext>
          </c:extLst>
        </c:ser>
        <c:ser>
          <c:idx val="2"/>
          <c:order val="2"/>
          <c:tx>
            <c:strRef>
              <c:f>'Résultats Administration'!$I$10</c:f>
              <c:strCache>
                <c:ptCount val="1"/>
                <c:pt idx="0">
                  <c:v>Bois (bûches, copeaux, pellets)</c:v>
                </c:pt>
              </c:strCache>
            </c:strRef>
          </c:tx>
          <c:spPr>
            <a:solidFill>
              <a:schemeClr val="accent3"/>
            </a:solidFill>
            <a:ln>
              <a:noFill/>
            </a:ln>
            <a:effectLst/>
          </c:spPr>
          <c:invertIfNegative val="0"/>
          <c:val>
            <c:numRef>
              <c:f>'Résultats Administration'!$J$10</c:f>
              <c:numCache>
                <c:formatCode>_ * #\ ##0_)_ ;_ * \(#\ ##0\)_ ;_ * "-"??_)_ ;_ @_ </c:formatCode>
                <c:ptCount val="1"/>
                <c:pt idx="0">
                  <c:v>6.2027625000000004</c:v>
                </c:pt>
              </c:numCache>
            </c:numRef>
          </c:val>
          <c:extLst>
            <c:ext xmlns:c16="http://schemas.microsoft.com/office/drawing/2014/chart" uri="{C3380CC4-5D6E-409C-BE32-E72D297353CC}">
              <c16:uniqueId val="{00000002-1BA8-E948-94A0-2269A884E445}"/>
            </c:ext>
          </c:extLst>
        </c:ser>
        <c:ser>
          <c:idx val="3"/>
          <c:order val="3"/>
          <c:tx>
            <c:strRef>
              <c:f>'Résultats Administration'!$I$11</c:f>
              <c:strCache>
                <c:ptCount val="1"/>
                <c:pt idx="0">
                  <c:v>Solaire thermique</c:v>
                </c:pt>
              </c:strCache>
            </c:strRef>
          </c:tx>
          <c:spPr>
            <a:solidFill>
              <a:schemeClr val="accent4"/>
            </a:solidFill>
            <a:ln>
              <a:noFill/>
            </a:ln>
            <a:effectLst/>
          </c:spPr>
          <c:invertIfNegative val="0"/>
          <c:val>
            <c:numRef>
              <c:f>'Résultats Administration'!$J$11</c:f>
              <c:numCache>
                <c:formatCode>_ * #\ ##0_)_ ;_ * \(#\ ##0\)_ ;_ * "-"??_)_ ;_ @_ </c:formatCode>
                <c:ptCount val="1"/>
                <c:pt idx="0">
                  <c:v>0</c:v>
                </c:pt>
              </c:numCache>
            </c:numRef>
          </c:val>
          <c:extLst>
            <c:ext xmlns:c16="http://schemas.microsoft.com/office/drawing/2014/chart" uri="{C3380CC4-5D6E-409C-BE32-E72D297353CC}">
              <c16:uniqueId val="{00000003-1BA8-E948-94A0-2269A884E445}"/>
            </c:ext>
          </c:extLst>
        </c:ser>
        <c:ser>
          <c:idx val="4"/>
          <c:order val="4"/>
          <c:tx>
            <c:strRef>
              <c:f>'Résultats Administration'!$I$12</c:f>
              <c:strCache>
                <c:ptCount val="1"/>
                <c:pt idx="0">
                  <c:v>Pompe à chaleur</c:v>
                </c:pt>
              </c:strCache>
            </c:strRef>
          </c:tx>
          <c:spPr>
            <a:solidFill>
              <a:schemeClr val="accent5"/>
            </a:solidFill>
            <a:ln>
              <a:noFill/>
            </a:ln>
            <a:effectLst/>
          </c:spPr>
          <c:invertIfNegative val="0"/>
          <c:val>
            <c:numRef>
              <c:f>'Résultats Administration'!$J$12</c:f>
              <c:numCache>
                <c:formatCode>_ * #\ ##0_)_ ;_ * \(#\ ##0\)_ ;_ * "-"??_)_ ;_ @_ </c:formatCode>
                <c:ptCount val="1"/>
                <c:pt idx="0">
                  <c:v>0</c:v>
                </c:pt>
              </c:numCache>
            </c:numRef>
          </c:val>
          <c:extLst>
            <c:ext xmlns:c16="http://schemas.microsoft.com/office/drawing/2014/chart" uri="{C3380CC4-5D6E-409C-BE32-E72D297353CC}">
              <c16:uniqueId val="{00000004-1BA8-E948-94A0-2269A884E445}"/>
            </c:ext>
          </c:extLst>
        </c:ser>
        <c:ser>
          <c:idx val="5"/>
          <c:order val="5"/>
          <c:tx>
            <c:strRef>
              <c:f>'Résultats Administration'!$I$13</c:f>
              <c:strCache>
                <c:ptCount val="1"/>
                <c:pt idx="0">
                  <c:v>Chauffage à distance</c:v>
                </c:pt>
              </c:strCache>
            </c:strRef>
          </c:tx>
          <c:spPr>
            <a:solidFill>
              <a:schemeClr val="accent6"/>
            </a:solidFill>
            <a:ln>
              <a:noFill/>
            </a:ln>
            <a:effectLst/>
          </c:spPr>
          <c:invertIfNegative val="0"/>
          <c:val>
            <c:numRef>
              <c:f>'Résultats Administration'!$J$13</c:f>
              <c:numCache>
                <c:formatCode>_ * #\ ##0_)_ ;_ * \(#\ ##0\)_ ;_ * "-"??_)_ ;_ @_ </c:formatCode>
                <c:ptCount val="1"/>
                <c:pt idx="0">
                  <c:v>0</c:v>
                </c:pt>
              </c:numCache>
            </c:numRef>
          </c:val>
          <c:extLst>
            <c:ext xmlns:c16="http://schemas.microsoft.com/office/drawing/2014/chart" uri="{C3380CC4-5D6E-409C-BE32-E72D297353CC}">
              <c16:uniqueId val="{00000005-1BA8-E948-94A0-2269A884E445}"/>
            </c:ext>
          </c:extLst>
        </c:ser>
        <c:ser>
          <c:idx val="6"/>
          <c:order val="6"/>
          <c:tx>
            <c:strRef>
              <c:f>'Résultats Administration'!$I$14</c:f>
              <c:strCache>
                <c:ptCount val="1"/>
                <c:pt idx="0">
                  <c:v>Électricité</c:v>
                </c:pt>
              </c:strCache>
            </c:strRef>
          </c:tx>
          <c:spPr>
            <a:solidFill>
              <a:schemeClr val="accent1">
                <a:lumMod val="60000"/>
              </a:schemeClr>
            </a:solidFill>
            <a:ln>
              <a:noFill/>
            </a:ln>
            <a:effectLst/>
          </c:spPr>
          <c:invertIfNegative val="0"/>
          <c:val>
            <c:numRef>
              <c:f>'Résultats Administration'!$J$14</c:f>
              <c:numCache>
                <c:formatCode>_ * #\ ##0_)_ ;_ * \(#\ ##0\)_ ;_ * "-"??_)_ ;_ @_ </c:formatCode>
                <c:ptCount val="1"/>
                <c:pt idx="0">
                  <c:v>25.504528999999998</c:v>
                </c:pt>
              </c:numCache>
            </c:numRef>
          </c:val>
          <c:extLst>
            <c:ext xmlns:c16="http://schemas.microsoft.com/office/drawing/2014/chart" uri="{C3380CC4-5D6E-409C-BE32-E72D297353CC}">
              <c16:uniqueId val="{00000006-1BA8-E948-94A0-2269A884E445}"/>
            </c:ext>
          </c:extLst>
        </c:ser>
        <c:dLbls>
          <c:showLegendKey val="0"/>
          <c:showVal val="0"/>
          <c:showCatName val="0"/>
          <c:showSerName val="0"/>
          <c:showPercent val="0"/>
          <c:showBubbleSize val="0"/>
        </c:dLbls>
        <c:gapWidth val="150"/>
        <c:overlap val="100"/>
        <c:axId val="240767967"/>
        <c:axId val="240772607"/>
      </c:barChart>
      <c:catAx>
        <c:axId val="240767967"/>
        <c:scaling>
          <c:orientation val="minMax"/>
        </c:scaling>
        <c:delete val="1"/>
        <c:axPos val="l"/>
        <c:numFmt formatCode="General" sourceLinked="1"/>
        <c:majorTickMark val="none"/>
        <c:minorTickMark val="none"/>
        <c:tickLblPos val="nextTo"/>
        <c:crossAx val="240772607"/>
        <c:crosses val="autoZero"/>
        <c:auto val="1"/>
        <c:lblAlgn val="ctr"/>
        <c:lblOffset val="100"/>
        <c:noMultiLvlLbl val="0"/>
      </c:catAx>
      <c:valAx>
        <c:axId val="240772607"/>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fr-FR"/>
          </a:p>
        </c:txPr>
        <c:crossAx val="240767967"/>
        <c:crosses val="autoZero"/>
        <c:crossBetween val="between"/>
      </c:valAx>
      <c:spPr>
        <a:noFill/>
        <a:ln>
          <a:noFill/>
        </a:ln>
        <a:effectLst/>
      </c:spPr>
    </c:plotArea>
    <c:legend>
      <c:legendPos val="b"/>
      <c:layout>
        <c:manualLayout>
          <c:xMode val="edge"/>
          <c:yMode val="edge"/>
          <c:x val="2.1714702096494998E-2"/>
          <c:y val="0.71098656977387231"/>
          <c:w val="0.96596561570669781"/>
          <c:h val="0.2494134424632357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fr-F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solidFill>
            <a:schemeClr val="bg1"/>
          </a:solidFill>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withinLinear" id="14">
  <a:schemeClr val="accent1"/>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32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3" Type="http://schemas.openxmlformats.org/officeDocument/2006/relationships/chart" Target="../charts/chart8.xml"/><Relationship Id="rId2" Type="http://schemas.openxmlformats.org/officeDocument/2006/relationships/chart" Target="../charts/chart7.xml"/><Relationship Id="rId1"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twoCellAnchor editAs="oneCell">
    <xdr:from>
      <xdr:col>1</xdr:col>
      <xdr:colOff>6898765</xdr:colOff>
      <xdr:row>16</xdr:row>
      <xdr:rowOff>1066173</xdr:rowOff>
    </xdr:from>
    <xdr:to>
      <xdr:col>3</xdr:col>
      <xdr:colOff>1424960</xdr:colOff>
      <xdr:row>16</xdr:row>
      <xdr:rowOff>4358765</xdr:rowOff>
    </xdr:to>
    <xdr:pic>
      <xdr:nvPicPr>
        <xdr:cNvPr id="3" name="Image 2">
          <a:extLst>
            <a:ext uri="{FF2B5EF4-FFF2-40B4-BE49-F238E27FC236}">
              <a16:creationId xmlns:a16="http://schemas.microsoft.com/office/drawing/2014/main" id="{E387077E-0F2C-F74C-A738-9A2342844399}"/>
            </a:ext>
          </a:extLst>
        </xdr:cNvPr>
        <xdr:cNvPicPr>
          <a:picLocks noChangeAspect="1"/>
        </xdr:cNvPicPr>
      </xdr:nvPicPr>
      <xdr:blipFill>
        <a:blip xmlns:r="http://schemas.openxmlformats.org/officeDocument/2006/relationships" r:embed="rId1"/>
        <a:stretch>
          <a:fillRect/>
        </a:stretch>
      </xdr:blipFill>
      <xdr:spPr>
        <a:xfrm>
          <a:off x="7149629" y="11179136"/>
          <a:ext cx="8292368" cy="3292592"/>
        </a:xfrm>
        <a:prstGeom prst="rect">
          <a:avLst/>
        </a:prstGeom>
      </xdr:spPr>
    </xdr:pic>
    <xdr:clientData/>
  </xdr:twoCellAnchor>
  <xdr:twoCellAnchor editAs="oneCell">
    <xdr:from>
      <xdr:col>1</xdr:col>
      <xdr:colOff>94074</xdr:colOff>
      <xdr:row>16</xdr:row>
      <xdr:rowOff>1144569</xdr:rowOff>
    </xdr:from>
    <xdr:to>
      <xdr:col>1</xdr:col>
      <xdr:colOff>6522469</xdr:colOff>
      <xdr:row>16</xdr:row>
      <xdr:rowOff>4346659</xdr:rowOff>
    </xdr:to>
    <xdr:pic>
      <xdr:nvPicPr>
        <xdr:cNvPr id="5" name="Image 4">
          <a:extLst>
            <a:ext uri="{FF2B5EF4-FFF2-40B4-BE49-F238E27FC236}">
              <a16:creationId xmlns:a16="http://schemas.microsoft.com/office/drawing/2014/main" id="{6CACDFF5-80C1-F847-91D5-6608E9413975}"/>
            </a:ext>
          </a:extLst>
        </xdr:cNvPr>
        <xdr:cNvPicPr>
          <a:picLocks noChangeAspect="1"/>
        </xdr:cNvPicPr>
      </xdr:nvPicPr>
      <xdr:blipFill>
        <a:blip xmlns:r="http://schemas.openxmlformats.org/officeDocument/2006/relationships" r:embed="rId2"/>
        <a:stretch>
          <a:fillRect/>
        </a:stretch>
      </xdr:blipFill>
      <xdr:spPr>
        <a:xfrm>
          <a:off x="344938" y="11257532"/>
          <a:ext cx="6428395" cy="3202090"/>
        </a:xfrm>
        <a:prstGeom prst="rect">
          <a:avLst/>
        </a:prstGeom>
      </xdr:spPr>
    </xdr:pic>
    <xdr:clientData/>
  </xdr:twoCellAnchor>
  <xdr:twoCellAnchor editAs="oneCell">
    <xdr:from>
      <xdr:col>2</xdr:col>
      <xdr:colOff>1508160</xdr:colOff>
      <xdr:row>24</xdr:row>
      <xdr:rowOff>875051</xdr:rowOff>
    </xdr:from>
    <xdr:to>
      <xdr:col>3</xdr:col>
      <xdr:colOff>1188814</xdr:colOff>
      <xdr:row>26</xdr:row>
      <xdr:rowOff>59421</xdr:rowOff>
    </xdr:to>
    <xdr:pic>
      <xdr:nvPicPr>
        <xdr:cNvPr id="7" name="Image 6">
          <a:extLst>
            <a:ext uri="{FF2B5EF4-FFF2-40B4-BE49-F238E27FC236}">
              <a16:creationId xmlns:a16="http://schemas.microsoft.com/office/drawing/2014/main" id="{EEE0D85F-1C9E-FC4F-B80B-3E5978AA234C}"/>
            </a:ext>
          </a:extLst>
        </xdr:cNvPr>
        <xdr:cNvPicPr>
          <a:picLocks noChangeAspect="1"/>
        </xdr:cNvPicPr>
      </xdr:nvPicPr>
      <xdr:blipFill>
        <a:blip xmlns:r="http://schemas.openxmlformats.org/officeDocument/2006/relationships" r:embed="rId3" cstate="email">
          <a:extLst>
            <a:ext uri="{28A0092B-C50C-407E-A947-70E740481C1C}">
              <a14:useLocalDpi xmlns:a14="http://schemas.microsoft.com/office/drawing/2010/main"/>
            </a:ext>
          </a:extLst>
        </a:blip>
        <a:stretch>
          <a:fillRect/>
        </a:stretch>
      </xdr:blipFill>
      <xdr:spPr>
        <a:xfrm>
          <a:off x="13354194" y="19005396"/>
          <a:ext cx="1870310" cy="469259"/>
        </a:xfrm>
        <a:prstGeom prst="rect">
          <a:avLst/>
        </a:prstGeom>
      </xdr:spPr>
    </xdr:pic>
    <xdr:clientData/>
  </xdr:twoCellAnchor>
  <xdr:twoCellAnchor editAs="oneCell">
    <xdr:from>
      <xdr:col>3</xdr:col>
      <xdr:colOff>1467069</xdr:colOff>
      <xdr:row>22</xdr:row>
      <xdr:rowOff>109483</xdr:rowOff>
    </xdr:from>
    <xdr:to>
      <xdr:col>4</xdr:col>
      <xdr:colOff>213536</xdr:colOff>
      <xdr:row>26</xdr:row>
      <xdr:rowOff>127876</xdr:rowOff>
    </xdr:to>
    <xdr:pic>
      <xdr:nvPicPr>
        <xdr:cNvPr id="8" name="Image 7">
          <a:extLst>
            <a:ext uri="{FF2B5EF4-FFF2-40B4-BE49-F238E27FC236}">
              <a16:creationId xmlns:a16="http://schemas.microsoft.com/office/drawing/2014/main" id="{5D479632-3941-1B47-A94E-4F02D79DD36B}"/>
            </a:ext>
          </a:extLst>
        </xdr:cNvPr>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5502759" y="17714311"/>
          <a:ext cx="563880" cy="182880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166832</xdr:colOff>
      <xdr:row>46</xdr:row>
      <xdr:rowOff>1</xdr:rowOff>
    </xdr:from>
    <xdr:to>
      <xdr:col>6</xdr:col>
      <xdr:colOff>1541317</xdr:colOff>
      <xdr:row>54</xdr:row>
      <xdr:rowOff>1962727</xdr:rowOff>
    </xdr:to>
    <xdr:graphicFrame macro="">
      <xdr:nvGraphicFramePr>
        <xdr:cNvPr id="5" name="Graphique 4">
          <a:extLst>
            <a:ext uri="{FF2B5EF4-FFF2-40B4-BE49-F238E27FC236}">
              <a16:creationId xmlns:a16="http://schemas.microsoft.com/office/drawing/2014/main" id="{DFEACE21-2211-244D-A929-A293E363442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76200</xdr:colOff>
      <xdr:row>3</xdr:row>
      <xdr:rowOff>88900</xdr:rowOff>
    </xdr:from>
    <xdr:to>
      <xdr:col>14</xdr:col>
      <xdr:colOff>25400</xdr:colOff>
      <xdr:row>17</xdr:row>
      <xdr:rowOff>152400</xdr:rowOff>
    </xdr:to>
    <xdr:graphicFrame macro="">
      <xdr:nvGraphicFramePr>
        <xdr:cNvPr id="6" name="Graphique 5">
          <a:extLst>
            <a:ext uri="{FF2B5EF4-FFF2-40B4-BE49-F238E27FC236}">
              <a16:creationId xmlns:a16="http://schemas.microsoft.com/office/drawing/2014/main" id="{8C168FBA-A618-8346-A1F2-FBAA75D7707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225984</xdr:colOff>
      <xdr:row>35</xdr:row>
      <xdr:rowOff>74706</xdr:rowOff>
    </xdr:from>
    <xdr:to>
      <xdr:col>14</xdr:col>
      <xdr:colOff>56028</xdr:colOff>
      <xdr:row>52</xdr:row>
      <xdr:rowOff>112059</xdr:rowOff>
    </xdr:to>
    <xdr:graphicFrame macro="">
      <xdr:nvGraphicFramePr>
        <xdr:cNvPr id="8" name="Graphique 7">
          <a:extLst>
            <a:ext uri="{FF2B5EF4-FFF2-40B4-BE49-F238E27FC236}">
              <a16:creationId xmlns:a16="http://schemas.microsoft.com/office/drawing/2014/main" id="{90607CBB-3F88-424B-B6CE-5CA051357A9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12</xdr:col>
      <xdr:colOff>42332</xdr:colOff>
      <xdr:row>19</xdr:row>
      <xdr:rowOff>41157</xdr:rowOff>
    </xdr:from>
    <xdr:to>
      <xdr:col>14</xdr:col>
      <xdr:colOff>50800</xdr:colOff>
      <xdr:row>31</xdr:row>
      <xdr:rowOff>461818</xdr:rowOff>
    </xdr:to>
    <xdr:graphicFrame macro="">
      <xdr:nvGraphicFramePr>
        <xdr:cNvPr id="13" name="Graphique 12">
          <a:extLst>
            <a:ext uri="{FF2B5EF4-FFF2-40B4-BE49-F238E27FC236}">
              <a16:creationId xmlns:a16="http://schemas.microsoft.com/office/drawing/2014/main" id="{68EEFC53-6FF1-5A41-A539-B4875DF1CC8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15875</xdr:colOff>
      <xdr:row>31</xdr:row>
      <xdr:rowOff>14431</xdr:rowOff>
    </xdr:from>
    <xdr:to>
      <xdr:col>6</xdr:col>
      <xdr:colOff>1515341</xdr:colOff>
      <xdr:row>45</xdr:row>
      <xdr:rowOff>94383</xdr:rowOff>
    </xdr:to>
    <xdr:graphicFrame macro="">
      <xdr:nvGraphicFramePr>
        <xdr:cNvPr id="14" name="Graphique 13">
          <a:extLst>
            <a:ext uri="{FF2B5EF4-FFF2-40B4-BE49-F238E27FC236}">
              <a16:creationId xmlns:a16="http://schemas.microsoft.com/office/drawing/2014/main" id="{7E0F7252-0D4F-8347-92B6-D09DDCABCDD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7</xdr:col>
      <xdr:colOff>228226</xdr:colOff>
      <xdr:row>17</xdr:row>
      <xdr:rowOff>144929</xdr:rowOff>
    </xdr:from>
    <xdr:to>
      <xdr:col>14</xdr:col>
      <xdr:colOff>14941</xdr:colOff>
      <xdr:row>33</xdr:row>
      <xdr:rowOff>0</xdr:rowOff>
    </xdr:to>
    <xdr:graphicFrame macro="">
      <xdr:nvGraphicFramePr>
        <xdr:cNvPr id="2" name="Graphique 1">
          <a:extLst>
            <a:ext uri="{FF2B5EF4-FFF2-40B4-BE49-F238E27FC236}">
              <a16:creationId xmlns:a16="http://schemas.microsoft.com/office/drawing/2014/main" id="{4F13F9BE-A4F3-BD45-B83B-83D5192DCAA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115455</xdr:colOff>
      <xdr:row>4</xdr:row>
      <xdr:rowOff>48107</xdr:rowOff>
    </xdr:from>
    <xdr:to>
      <xdr:col>13</xdr:col>
      <xdr:colOff>125074</xdr:colOff>
      <xdr:row>16</xdr:row>
      <xdr:rowOff>144320</xdr:rowOff>
    </xdr:to>
    <xdr:graphicFrame macro="">
      <xdr:nvGraphicFramePr>
        <xdr:cNvPr id="5" name="Graphique 4">
          <a:extLst>
            <a:ext uri="{FF2B5EF4-FFF2-40B4-BE49-F238E27FC236}">
              <a16:creationId xmlns:a16="http://schemas.microsoft.com/office/drawing/2014/main" id="{B7BE0D9E-420E-7643-BF88-8AD4E964F21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115455</xdr:colOff>
      <xdr:row>4</xdr:row>
      <xdr:rowOff>48107</xdr:rowOff>
    </xdr:from>
    <xdr:to>
      <xdr:col>13</xdr:col>
      <xdr:colOff>125074</xdr:colOff>
      <xdr:row>16</xdr:row>
      <xdr:rowOff>144320</xdr:rowOff>
    </xdr:to>
    <xdr:graphicFrame macro="">
      <xdr:nvGraphicFramePr>
        <xdr:cNvPr id="7" name="Graphique 6">
          <a:extLst>
            <a:ext uri="{FF2B5EF4-FFF2-40B4-BE49-F238E27FC236}">
              <a16:creationId xmlns:a16="http://schemas.microsoft.com/office/drawing/2014/main" id="{4E35D9D7-ADDD-8F43-984D-5503228E48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Volumes\GoogleDrive\Mon%20Drive\EtatGE_2020_SCDD_OutilCommune\4.%20Projet\Outil%20Excel\OutilGES_EtatGene&#768;ve_PiloteV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Volumes\GoogleDrive\Mon%20Drive\EtatGE_2020_SCDD_OutilCommune\4.%20Projet\Outil%20Excel\OutilGES_EtatGene&#768;ve_V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onnées générales"/>
      <sheetName val="Données communales"/>
      <sheetName val="Facteurs d'émissions"/>
      <sheetName val="SIG - Électricité"/>
    </sheetNames>
    <sheetDataSet>
      <sheetData sheetId="0" refreshError="1"/>
      <sheetData sheetId="1" refreshError="1"/>
      <sheetData sheetId="2" refreshError="1"/>
      <sheetData sheetId="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onnées générales"/>
      <sheetName val="Facteurs d'émissions"/>
    </sheetNames>
    <sheetDataSet>
      <sheetData sheetId="0" refreshError="1"/>
      <sheetData sheetId="1" refreshError="1"/>
    </sheetDataSet>
  </externalBook>
</externalLink>
</file>

<file path=xl/theme/theme1.xml><?xml version="1.0" encoding="utf-8"?>
<a:theme xmlns:a="http://schemas.openxmlformats.org/drawingml/2006/main" name="Quantis">
  <a:themeElements>
    <a:clrScheme name="Quantis Palette 1">
      <a:dk1>
        <a:srgbClr val="514541"/>
      </a:dk1>
      <a:lt1>
        <a:srgbClr val="FFFFFF"/>
      </a:lt1>
      <a:dk2>
        <a:srgbClr val="E5004B"/>
      </a:dk2>
      <a:lt2>
        <a:srgbClr val="ECE9E9"/>
      </a:lt2>
      <a:accent1>
        <a:srgbClr val="007CB0"/>
      </a:accent1>
      <a:accent2>
        <a:srgbClr val="64C2C7"/>
      </a:accent2>
      <a:accent3>
        <a:srgbClr val="00ABA9"/>
      </a:accent3>
      <a:accent4>
        <a:srgbClr val="C3DA90"/>
      </a:accent4>
      <a:accent5>
        <a:srgbClr val="008C3C"/>
      </a:accent5>
      <a:accent6>
        <a:srgbClr val="95C11E"/>
      </a:accent6>
      <a:hlink>
        <a:srgbClr val="E5004B"/>
      </a:hlink>
      <a:folHlink>
        <a:srgbClr val="E6007E"/>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Quantis" id="{982F0217-B7AD-814D-ABB3-946162B5EBAE}" vid="{49E2A96A-2C2A-5D4C-96E7-178DBBA63C04}"/>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F99A94-8BFD-404C-BE76-FFD07FC0F9E5}">
  <sheetPr codeName="Sheet1">
    <tabColor theme="7"/>
  </sheetPr>
  <dimension ref="A1:T56"/>
  <sheetViews>
    <sheetView tabSelected="1" topLeftCell="A11" zoomScale="107" zoomScaleNormal="70" workbookViewId="0">
      <selection activeCell="B17" sqref="B17:D17"/>
    </sheetView>
  </sheetViews>
  <sheetFormatPr baseColWidth="10" defaultColWidth="0" defaultRowHeight="15.75" zeroHeight="1"/>
  <cols>
    <col min="1" max="1" width="3.375" style="2" customWidth="1"/>
    <col min="2" max="2" width="152" style="2" customWidth="1"/>
    <col min="3" max="3" width="28.625" style="2" customWidth="1"/>
    <col min="4" max="4" width="23.875" style="2" customWidth="1"/>
    <col min="5" max="5" width="4.875" style="2" customWidth="1"/>
    <col min="6" max="6" width="10.875" style="2" customWidth="1"/>
    <col min="7" max="20" width="0" style="2" hidden="1" customWidth="1"/>
    <col min="21" max="16384" width="10.875" style="2" hidden="1"/>
  </cols>
  <sheetData>
    <row r="1" spans="1:6" s="1" customFormat="1" ht="42" customHeight="1">
      <c r="A1" s="21"/>
      <c r="B1" s="21" t="s">
        <v>0</v>
      </c>
      <c r="C1" s="21"/>
      <c r="D1" s="21"/>
      <c r="E1" s="21"/>
      <c r="F1" s="21"/>
    </row>
    <row r="2" spans="1:6" ht="16.5" thickBot="1"/>
    <row r="3" spans="1:6" ht="24.95" customHeight="1">
      <c r="B3" s="3" t="s">
        <v>1</v>
      </c>
      <c r="C3" s="4"/>
      <c r="D3" s="4"/>
      <c r="E3" s="5"/>
    </row>
    <row r="4" spans="1:6" ht="125.1" customHeight="1">
      <c r="B4" s="422" t="s">
        <v>833</v>
      </c>
      <c r="C4" s="423"/>
      <c r="D4" s="423"/>
      <c r="E4" s="6"/>
    </row>
    <row r="5" spans="1:6" ht="47.1" customHeight="1">
      <c r="B5" s="418" t="s">
        <v>841</v>
      </c>
      <c r="C5" s="419"/>
      <c r="D5" s="419"/>
      <c r="E5" s="7"/>
    </row>
    <row r="6" spans="1:6" ht="44.1" customHeight="1">
      <c r="B6" s="418" t="s">
        <v>842</v>
      </c>
      <c r="C6" s="419"/>
      <c r="D6" s="419"/>
      <c r="E6" s="7"/>
    </row>
    <row r="7" spans="1:6" ht="126.95" customHeight="1">
      <c r="B7" s="418" t="s">
        <v>855</v>
      </c>
      <c r="C7" s="419"/>
      <c r="D7" s="419"/>
      <c r="E7" s="7"/>
    </row>
    <row r="8" spans="1:6" ht="15" customHeight="1">
      <c r="B8" s="422" t="s">
        <v>834</v>
      </c>
      <c r="C8" s="423"/>
      <c r="D8" s="8" t="s">
        <v>2</v>
      </c>
      <c r="E8" s="6"/>
    </row>
    <row r="9" spans="1:6" ht="15" customHeight="1">
      <c r="B9" s="9"/>
      <c r="D9" s="10"/>
      <c r="E9" s="6"/>
    </row>
    <row r="10" spans="1:6" ht="27.95" customHeight="1">
      <c r="B10" s="420" t="s">
        <v>3</v>
      </c>
      <c r="C10" s="421"/>
      <c r="D10" s="22" t="s">
        <v>2</v>
      </c>
      <c r="E10" s="6"/>
    </row>
    <row r="11" spans="1:6">
      <c r="B11" s="11"/>
      <c r="C11" s="10"/>
      <c r="D11" s="10"/>
      <c r="E11" s="6"/>
    </row>
    <row r="12" spans="1:6" ht="18" customHeight="1">
      <c r="B12" s="420" t="s">
        <v>856</v>
      </c>
      <c r="C12" s="421"/>
      <c r="D12" s="23" t="s">
        <v>4</v>
      </c>
      <c r="E12" s="12"/>
    </row>
    <row r="13" spans="1:6" ht="15" customHeight="1">
      <c r="B13" s="13"/>
      <c r="C13" s="14"/>
      <c r="D13" s="15"/>
      <c r="E13" s="12"/>
    </row>
    <row r="14" spans="1:6" ht="27.95" customHeight="1">
      <c r="B14" s="16" t="s">
        <v>5</v>
      </c>
      <c r="E14" s="12"/>
    </row>
    <row r="15" spans="1:6" ht="182.1" customHeight="1">
      <c r="B15" s="418" t="s">
        <v>857</v>
      </c>
      <c r="C15" s="419"/>
      <c r="D15" s="419"/>
      <c r="E15" s="12"/>
    </row>
    <row r="16" spans="1:6" ht="18" customHeight="1">
      <c r="B16" s="257"/>
      <c r="C16" s="258"/>
      <c r="D16" s="258"/>
      <c r="E16" s="12"/>
    </row>
    <row r="17" spans="1:20" ht="354" customHeight="1">
      <c r="B17" s="418" t="s">
        <v>858</v>
      </c>
      <c r="C17" s="419"/>
      <c r="D17" s="419"/>
      <c r="E17" s="12"/>
    </row>
    <row r="18" spans="1:20" ht="231" customHeight="1">
      <c r="B18" s="418" t="s">
        <v>877</v>
      </c>
      <c r="C18" s="419"/>
      <c r="D18" s="419"/>
      <c r="E18" s="12"/>
    </row>
    <row r="19" spans="1:20" ht="20.100000000000001" customHeight="1">
      <c r="B19" s="418" t="s">
        <v>835</v>
      </c>
      <c r="C19" s="419"/>
      <c r="D19" s="419"/>
      <c r="E19" s="12"/>
    </row>
    <row r="20" spans="1:20" ht="20.100000000000001" customHeight="1">
      <c r="B20" s="375" t="s">
        <v>836</v>
      </c>
      <c r="C20" s="258"/>
      <c r="D20" s="258"/>
      <c r="E20" s="12"/>
    </row>
    <row r="21" spans="1:20" ht="20.100000000000001" customHeight="1">
      <c r="B21" s="375" t="s">
        <v>837</v>
      </c>
      <c r="C21" s="258"/>
      <c r="D21" s="258"/>
      <c r="E21" s="12"/>
    </row>
    <row r="22" spans="1:20" ht="20.100000000000001" customHeight="1">
      <c r="B22" s="375" t="s">
        <v>838</v>
      </c>
      <c r="C22" s="258"/>
      <c r="D22" s="258"/>
      <c r="E22" s="12"/>
    </row>
    <row r="23" spans="1:20" ht="20.100000000000001" customHeight="1">
      <c r="B23" s="375" t="s">
        <v>839</v>
      </c>
      <c r="C23" s="258"/>
      <c r="D23" s="258"/>
      <c r="E23" s="12"/>
    </row>
    <row r="24" spans="1:20" ht="20.100000000000001" customHeight="1">
      <c r="B24" s="257"/>
      <c r="C24" s="258"/>
      <c r="D24" s="258"/>
      <c r="E24" s="12"/>
    </row>
    <row r="25" spans="1:20" ht="81.95" customHeight="1">
      <c r="B25" s="418" t="s">
        <v>840</v>
      </c>
      <c r="C25" s="419"/>
      <c r="D25" s="419"/>
      <c r="E25" s="12"/>
    </row>
    <row r="26" spans="1:20" ht="18.95" customHeight="1">
      <c r="B26" s="375" t="s">
        <v>843</v>
      </c>
      <c r="C26" s="258"/>
      <c r="D26" s="258"/>
      <c r="E26" s="12"/>
    </row>
    <row r="27" spans="1:20" ht="16.5" thickBot="1">
      <c r="B27" s="17"/>
      <c r="C27" s="18"/>
      <c r="D27" s="18"/>
      <c r="E27" s="19"/>
    </row>
    <row r="28" spans="1:20"/>
    <row r="29" spans="1:20" customFormat="1" ht="24.95" hidden="1" customHeight="1">
      <c r="A29" s="2"/>
      <c r="B29" s="2"/>
      <c r="C29" s="2"/>
      <c r="D29" s="2"/>
      <c r="E29" s="2"/>
      <c r="F29" s="2"/>
      <c r="G29" s="2"/>
      <c r="H29" s="2"/>
      <c r="I29" s="2"/>
      <c r="J29" s="2"/>
      <c r="K29" s="2"/>
      <c r="L29" s="2"/>
      <c r="M29" s="2"/>
      <c r="N29" s="2"/>
      <c r="O29" s="2"/>
      <c r="P29" s="2"/>
      <c r="Q29" s="2"/>
      <c r="R29" s="2"/>
      <c r="S29" s="2"/>
      <c r="T29" s="2"/>
    </row>
    <row r="30" spans="1:20" customFormat="1" hidden="1">
      <c r="A30" s="2"/>
      <c r="B30" s="2"/>
      <c r="C30" s="2"/>
      <c r="D30" s="2"/>
      <c r="E30" s="2"/>
      <c r="F30" s="2"/>
      <c r="G30" s="2"/>
      <c r="H30" s="2"/>
      <c r="I30" s="2"/>
      <c r="J30" s="2"/>
      <c r="K30" s="2"/>
      <c r="L30" s="2"/>
      <c r="M30" s="2"/>
      <c r="N30" s="2"/>
      <c r="O30" s="2"/>
      <c r="P30" s="2"/>
      <c r="Q30" s="2"/>
      <c r="R30" s="2"/>
      <c r="S30" s="2"/>
      <c r="T30" s="2"/>
    </row>
    <row r="31" spans="1:20" customFormat="1" hidden="1">
      <c r="A31" s="2"/>
      <c r="B31" s="2"/>
      <c r="C31" s="2"/>
      <c r="D31" s="2"/>
      <c r="E31" s="2"/>
      <c r="F31" s="2"/>
      <c r="G31" s="2"/>
      <c r="H31" s="2"/>
      <c r="I31" s="2"/>
      <c r="J31" s="2"/>
      <c r="K31" s="2"/>
      <c r="L31" s="2"/>
      <c r="M31" s="2"/>
      <c r="N31" s="2"/>
      <c r="O31" s="2"/>
      <c r="P31" s="2"/>
      <c r="Q31" s="2"/>
      <c r="R31" s="2"/>
      <c r="S31" s="2"/>
      <c r="T31" s="2"/>
    </row>
    <row r="32" spans="1:20" customFormat="1" hidden="1">
      <c r="A32" s="2"/>
      <c r="B32" s="2"/>
      <c r="C32" s="2"/>
      <c r="D32" s="2"/>
      <c r="E32" s="2"/>
      <c r="F32" s="2"/>
      <c r="G32" s="2"/>
      <c r="H32" s="2"/>
      <c r="I32" s="2"/>
      <c r="J32" s="2"/>
      <c r="K32" s="2"/>
      <c r="L32" s="2"/>
      <c r="M32" s="2"/>
      <c r="N32" s="2"/>
      <c r="O32" s="2"/>
      <c r="P32" s="2"/>
      <c r="Q32" s="2"/>
      <c r="R32" s="2"/>
      <c r="S32" s="2"/>
      <c r="T32" s="2"/>
    </row>
    <row r="33" spans="1:20" customFormat="1" hidden="1">
      <c r="A33" s="2"/>
      <c r="B33" s="2"/>
      <c r="C33" s="2"/>
      <c r="D33" s="2"/>
      <c r="E33" s="2"/>
      <c r="F33" s="2"/>
      <c r="G33" s="2"/>
      <c r="H33" s="2"/>
      <c r="I33" s="2"/>
      <c r="J33" s="2"/>
      <c r="K33" s="2"/>
      <c r="L33" s="2"/>
      <c r="M33" s="2"/>
      <c r="N33" s="2"/>
      <c r="O33" s="2"/>
      <c r="P33" s="2"/>
      <c r="Q33" s="2"/>
      <c r="R33" s="2"/>
      <c r="S33" s="2"/>
      <c r="T33" s="2"/>
    </row>
    <row r="34" spans="1:20" customFormat="1" hidden="1">
      <c r="A34" s="2"/>
      <c r="B34" s="2"/>
      <c r="C34" s="2"/>
      <c r="D34" s="2"/>
      <c r="E34" s="2"/>
      <c r="F34" s="2"/>
      <c r="G34" s="2"/>
      <c r="H34" s="2"/>
      <c r="I34" s="2"/>
      <c r="J34" s="2"/>
      <c r="K34" s="2"/>
      <c r="L34" s="2"/>
      <c r="M34" s="2"/>
      <c r="N34" s="2"/>
      <c r="O34" s="2"/>
      <c r="P34" s="2"/>
      <c r="Q34" s="2"/>
      <c r="R34" s="2"/>
      <c r="S34" s="2"/>
      <c r="T34" s="2"/>
    </row>
    <row r="35" spans="1:20" customFormat="1" hidden="1">
      <c r="A35" s="2"/>
      <c r="B35" s="2"/>
      <c r="C35" s="2"/>
      <c r="D35" s="2"/>
      <c r="E35" s="2"/>
      <c r="F35" s="2"/>
      <c r="G35" s="2"/>
      <c r="H35" s="2"/>
      <c r="I35" s="2"/>
      <c r="J35" s="2"/>
      <c r="K35" s="2"/>
      <c r="L35" s="2"/>
      <c r="M35" s="2"/>
      <c r="N35" s="2"/>
      <c r="O35" s="2"/>
      <c r="P35" s="2"/>
      <c r="Q35" s="2"/>
      <c r="R35" s="2"/>
      <c r="S35" s="2"/>
      <c r="T35" s="2"/>
    </row>
    <row r="36" spans="1:20" customFormat="1" ht="15" hidden="1" customHeight="1">
      <c r="A36" s="2"/>
      <c r="B36" s="2"/>
      <c r="C36" s="2"/>
      <c r="D36" s="2"/>
      <c r="E36" s="2"/>
      <c r="F36" s="2"/>
      <c r="G36" s="2"/>
      <c r="H36" s="2"/>
      <c r="I36" s="2"/>
      <c r="J36" s="2"/>
      <c r="K36" s="2"/>
      <c r="L36" s="2"/>
      <c r="M36" s="2"/>
      <c r="N36" s="2"/>
      <c r="O36" s="2"/>
      <c r="P36" s="2"/>
      <c r="Q36" s="2"/>
      <c r="R36" s="2"/>
      <c r="S36" s="2"/>
      <c r="T36" s="2"/>
    </row>
    <row r="37" spans="1:20" customFormat="1" hidden="1">
      <c r="A37" s="2"/>
      <c r="B37" s="2"/>
      <c r="C37" s="2"/>
      <c r="D37" s="2"/>
      <c r="E37" s="2"/>
      <c r="F37" s="2"/>
      <c r="G37" s="2"/>
      <c r="H37" s="2"/>
      <c r="I37" s="2"/>
      <c r="J37" s="2"/>
      <c r="K37" s="2"/>
      <c r="L37" s="2"/>
      <c r="M37" s="2"/>
      <c r="N37" s="2"/>
      <c r="O37" s="2"/>
      <c r="P37" s="2"/>
      <c r="Q37" s="2"/>
      <c r="R37" s="2"/>
      <c r="S37" s="2"/>
      <c r="T37" s="2"/>
    </row>
    <row r="38" spans="1:20" customFormat="1" ht="15" hidden="1" customHeight="1">
      <c r="A38" s="2"/>
      <c r="B38" s="2"/>
      <c r="C38" s="2"/>
      <c r="D38" s="2"/>
      <c r="E38" s="2"/>
      <c r="F38" s="2"/>
      <c r="G38" s="2"/>
      <c r="H38" s="2"/>
      <c r="I38" s="2"/>
      <c r="J38" s="2"/>
      <c r="K38" s="2"/>
      <c r="L38" s="2"/>
      <c r="M38" s="2"/>
      <c r="N38" s="2"/>
      <c r="O38" s="2"/>
      <c r="P38" s="2"/>
      <c r="Q38" s="2"/>
      <c r="R38" s="2"/>
      <c r="S38" s="2"/>
      <c r="T38" s="2"/>
    </row>
    <row r="39" spans="1:20" customFormat="1" hidden="1">
      <c r="A39" s="2"/>
      <c r="B39" s="2"/>
      <c r="C39" s="2"/>
      <c r="D39" s="2"/>
      <c r="E39" s="2"/>
      <c r="F39" s="2"/>
      <c r="G39" s="2"/>
      <c r="I39" s="2"/>
      <c r="J39" s="2"/>
      <c r="K39" s="2"/>
      <c r="L39" s="2"/>
      <c r="M39" s="2"/>
      <c r="N39" s="2"/>
      <c r="O39" s="2"/>
      <c r="P39" s="2"/>
      <c r="Q39" s="2"/>
      <c r="R39" s="2"/>
      <c r="S39" s="2"/>
      <c r="T39" s="2"/>
    </row>
    <row r="40" spans="1:20" customFormat="1" hidden="1">
      <c r="A40" s="2"/>
      <c r="B40" s="2"/>
      <c r="C40" s="2"/>
      <c r="D40" s="2"/>
      <c r="E40" s="2"/>
      <c r="F40" s="2"/>
      <c r="G40" s="2"/>
      <c r="H40" s="2"/>
      <c r="I40" s="2"/>
      <c r="J40" s="2"/>
      <c r="K40" s="2"/>
      <c r="L40" s="2"/>
      <c r="M40" s="2"/>
      <c r="N40" s="2"/>
      <c r="O40" s="2"/>
      <c r="P40" s="2"/>
      <c r="Q40" s="2"/>
      <c r="R40" s="2"/>
      <c r="S40" s="2"/>
      <c r="T40" s="2"/>
    </row>
    <row r="41" spans="1:20" customFormat="1" hidden="1">
      <c r="A41" s="2"/>
      <c r="B41" s="2"/>
      <c r="C41" s="2"/>
      <c r="D41" s="2"/>
      <c r="E41" s="2"/>
      <c r="F41" s="2"/>
      <c r="G41" s="2"/>
      <c r="H41" s="2"/>
      <c r="I41" s="2"/>
      <c r="J41" s="2"/>
      <c r="K41" s="2"/>
      <c r="L41" s="2"/>
      <c r="M41" s="2"/>
      <c r="N41" s="2"/>
      <c r="O41" s="2"/>
      <c r="P41" s="2"/>
      <c r="Q41" s="2"/>
      <c r="R41" s="2"/>
      <c r="S41" s="2"/>
      <c r="T41" s="2"/>
    </row>
    <row r="42" spans="1:20" customFormat="1" hidden="1">
      <c r="A42" s="2"/>
      <c r="B42" s="2"/>
      <c r="C42" s="2"/>
      <c r="D42" s="2"/>
      <c r="E42" s="2"/>
      <c r="F42" s="2"/>
      <c r="G42" s="2"/>
      <c r="H42" s="2"/>
      <c r="I42" s="2"/>
      <c r="J42" s="2"/>
      <c r="K42" s="2"/>
      <c r="L42" s="2"/>
      <c r="M42" s="2"/>
      <c r="N42" s="2"/>
      <c r="O42" s="2"/>
      <c r="P42" s="2"/>
      <c r="Q42" s="2"/>
      <c r="R42" s="2"/>
      <c r="S42" s="2"/>
      <c r="T42" s="2"/>
    </row>
    <row r="43" spans="1:20" customFormat="1" hidden="1">
      <c r="A43" s="2"/>
      <c r="B43" s="2"/>
      <c r="C43" s="2"/>
      <c r="D43" s="2"/>
      <c r="E43" s="2"/>
      <c r="F43" s="2"/>
      <c r="G43" s="2"/>
      <c r="H43" s="2"/>
      <c r="I43" s="2"/>
      <c r="J43" s="2"/>
      <c r="K43" s="2"/>
      <c r="L43" s="2"/>
      <c r="M43" s="2"/>
      <c r="N43" s="2"/>
      <c r="O43" s="2"/>
      <c r="P43" s="2"/>
      <c r="Q43" s="2"/>
      <c r="R43" s="2"/>
      <c r="S43" s="2"/>
      <c r="T43" s="2"/>
    </row>
    <row r="44" spans="1:20" customFormat="1" hidden="1">
      <c r="A44" s="2"/>
      <c r="B44" s="2"/>
      <c r="C44" s="2"/>
      <c r="D44" s="2"/>
      <c r="E44" s="2"/>
      <c r="F44" s="2"/>
      <c r="G44" s="2"/>
      <c r="H44" s="2"/>
      <c r="I44" s="2"/>
      <c r="J44" s="2"/>
      <c r="K44" s="2"/>
      <c r="L44" s="2"/>
      <c r="M44" s="2"/>
      <c r="N44" s="2"/>
      <c r="O44" s="2"/>
      <c r="P44" s="2"/>
      <c r="Q44" s="2"/>
      <c r="R44" s="2"/>
      <c r="S44" s="2"/>
      <c r="T44" s="2"/>
    </row>
    <row r="45" spans="1:20" customFormat="1" hidden="1">
      <c r="A45" s="2"/>
      <c r="B45" s="2"/>
      <c r="C45" s="2"/>
      <c r="D45" s="2"/>
      <c r="E45" s="2"/>
      <c r="F45" s="2"/>
      <c r="G45" s="2"/>
      <c r="H45" s="2"/>
      <c r="I45" s="2"/>
      <c r="J45" s="2"/>
      <c r="K45" s="2"/>
      <c r="L45" s="2"/>
      <c r="M45" s="2"/>
      <c r="N45" s="2"/>
      <c r="O45" s="2"/>
      <c r="P45" s="2"/>
      <c r="Q45" s="2"/>
      <c r="R45" s="2"/>
      <c r="S45" s="2"/>
      <c r="T45" s="2"/>
    </row>
    <row r="46" spans="1:20" customFormat="1" hidden="1">
      <c r="A46" s="2"/>
      <c r="B46" s="2"/>
      <c r="C46" s="2"/>
      <c r="D46" s="2"/>
      <c r="E46" s="2"/>
      <c r="F46" s="2"/>
      <c r="G46" s="2"/>
      <c r="H46" s="2"/>
      <c r="I46" s="2"/>
      <c r="J46" s="2"/>
      <c r="K46" s="2"/>
      <c r="L46" s="2"/>
      <c r="M46" s="2"/>
      <c r="N46" s="2"/>
      <c r="O46" s="2"/>
      <c r="P46" s="2"/>
      <c r="Q46" s="2"/>
      <c r="R46" s="2"/>
      <c r="S46" s="2"/>
      <c r="T46" s="2"/>
    </row>
    <row r="47" spans="1:20" customFormat="1" hidden="1">
      <c r="A47" s="2"/>
      <c r="B47" s="2"/>
      <c r="C47" s="2"/>
      <c r="D47" s="2"/>
      <c r="E47" s="2"/>
      <c r="F47" s="2"/>
      <c r="G47" s="2"/>
      <c r="H47" s="2"/>
      <c r="I47" s="2"/>
      <c r="J47" s="2"/>
      <c r="K47" s="2"/>
      <c r="L47" s="2"/>
      <c r="M47" s="2"/>
      <c r="N47" s="2"/>
      <c r="O47" s="2"/>
      <c r="P47" s="2"/>
      <c r="Q47" s="2"/>
      <c r="R47" s="2"/>
      <c r="S47" s="2"/>
      <c r="T47" s="2"/>
    </row>
    <row r="48" spans="1:20" customFormat="1" hidden="1">
      <c r="A48" s="2"/>
      <c r="B48" s="2"/>
      <c r="C48" s="2"/>
      <c r="D48" s="2"/>
      <c r="E48" s="2"/>
      <c r="F48" s="2"/>
      <c r="G48" s="2"/>
      <c r="H48" s="2"/>
      <c r="I48" s="2"/>
      <c r="J48" s="2"/>
      <c r="K48" s="2"/>
      <c r="L48" s="2"/>
      <c r="M48" s="2"/>
      <c r="N48" s="2"/>
      <c r="O48" s="2"/>
      <c r="P48" s="2"/>
      <c r="Q48" s="2"/>
      <c r="R48" s="2"/>
      <c r="S48" s="2"/>
      <c r="T48" s="2"/>
    </row>
    <row r="49" spans="1:20" customFormat="1" hidden="1">
      <c r="A49" s="2"/>
      <c r="B49" s="2"/>
      <c r="C49" s="2"/>
      <c r="D49" s="2"/>
      <c r="E49" s="2"/>
      <c r="F49" s="2"/>
      <c r="G49" s="2"/>
      <c r="H49" s="2"/>
      <c r="I49" s="2"/>
      <c r="J49" s="2"/>
      <c r="K49" s="2"/>
      <c r="L49" s="2"/>
      <c r="M49" s="2"/>
      <c r="N49" s="2"/>
      <c r="O49" s="2"/>
      <c r="P49" s="2"/>
      <c r="Q49" s="2"/>
      <c r="R49" s="2"/>
      <c r="S49" s="2"/>
      <c r="T49" s="2"/>
    </row>
    <row r="50" spans="1:20" customFormat="1" hidden="1">
      <c r="A50" s="2"/>
      <c r="B50" s="2"/>
      <c r="C50" s="2"/>
      <c r="D50" s="2"/>
      <c r="E50" s="2"/>
      <c r="F50" s="2"/>
      <c r="G50" s="2"/>
      <c r="H50" s="2"/>
      <c r="I50" s="2"/>
      <c r="J50" s="2"/>
      <c r="K50" s="2"/>
      <c r="L50" s="2"/>
      <c r="M50" s="2"/>
      <c r="N50" s="2"/>
      <c r="O50" s="2"/>
      <c r="P50" s="2"/>
      <c r="Q50" s="2"/>
      <c r="R50" s="2"/>
      <c r="S50" s="2"/>
      <c r="T50" s="2"/>
    </row>
    <row r="51" spans="1:20" customFormat="1" hidden="1">
      <c r="A51" s="2"/>
      <c r="B51" s="2"/>
      <c r="C51" s="2"/>
      <c r="D51" s="2"/>
      <c r="E51" s="2"/>
      <c r="F51" s="2"/>
      <c r="G51" s="2"/>
      <c r="H51" s="2"/>
      <c r="I51" s="2"/>
      <c r="J51" s="2"/>
      <c r="K51" s="2"/>
      <c r="L51" s="2"/>
      <c r="M51" s="2"/>
      <c r="N51" s="2"/>
      <c r="O51" s="2"/>
      <c r="P51" s="2"/>
      <c r="Q51" s="2"/>
      <c r="R51" s="2"/>
      <c r="S51" s="2"/>
      <c r="T51" s="2"/>
    </row>
    <row r="52" spans="1:20" customFormat="1" hidden="1">
      <c r="A52" s="2"/>
      <c r="B52" s="2"/>
      <c r="C52" s="2"/>
      <c r="D52" s="2"/>
      <c r="E52" s="2"/>
      <c r="F52" s="2"/>
      <c r="G52" s="2"/>
      <c r="H52" s="2"/>
      <c r="I52" s="2"/>
      <c r="J52" s="2"/>
      <c r="K52" s="2"/>
      <c r="L52" s="2"/>
      <c r="M52" s="2"/>
      <c r="N52" s="2"/>
      <c r="O52" s="2"/>
      <c r="P52" s="2"/>
      <c r="Q52" s="2"/>
      <c r="R52" s="2"/>
      <c r="S52" s="2"/>
      <c r="T52" s="2"/>
    </row>
    <row r="53" spans="1:20" customFormat="1" hidden="1">
      <c r="A53" s="2"/>
      <c r="B53" s="2"/>
      <c r="C53" s="2"/>
      <c r="D53" s="2"/>
      <c r="E53" s="2"/>
      <c r="F53" s="2"/>
      <c r="G53" s="2"/>
      <c r="H53" s="2"/>
      <c r="I53" s="2"/>
      <c r="J53" s="2"/>
      <c r="K53" s="2"/>
      <c r="L53" s="2"/>
      <c r="M53" s="2"/>
      <c r="N53" s="2"/>
      <c r="O53" s="2"/>
      <c r="P53" s="2"/>
      <c r="Q53" s="2"/>
      <c r="R53" s="2"/>
      <c r="S53" s="2"/>
      <c r="T53" s="2"/>
    </row>
    <row r="54" spans="1:20" customFormat="1" hidden="1">
      <c r="A54" s="2"/>
      <c r="B54" s="2"/>
      <c r="C54" s="2"/>
      <c r="D54" s="2"/>
      <c r="E54" s="2"/>
      <c r="F54" s="2"/>
      <c r="G54" s="2"/>
      <c r="H54" s="2"/>
      <c r="I54" s="2"/>
      <c r="J54" s="2"/>
      <c r="K54" s="2"/>
      <c r="L54" s="2"/>
      <c r="M54" s="2"/>
      <c r="N54" s="2"/>
      <c r="O54" s="2"/>
      <c r="P54" s="2"/>
      <c r="Q54" s="2"/>
      <c r="R54" s="2"/>
      <c r="S54" s="2"/>
      <c r="T54" s="2"/>
    </row>
    <row r="55" spans="1:20" customFormat="1" hidden="1">
      <c r="A55" s="2"/>
      <c r="B55" s="2"/>
      <c r="C55" s="2"/>
      <c r="D55" s="2"/>
      <c r="E55" s="2"/>
      <c r="F55" s="2"/>
      <c r="G55" s="2"/>
      <c r="H55" s="2"/>
      <c r="I55" s="2"/>
      <c r="J55" s="2"/>
      <c r="K55" s="2"/>
      <c r="L55" s="2"/>
      <c r="M55" s="2"/>
      <c r="N55" s="2"/>
      <c r="O55" s="2"/>
      <c r="P55" s="2"/>
      <c r="Q55" s="2"/>
      <c r="R55" s="2"/>
      <c r="S55" s="2"/>
      <c r="T55" s="2"/>
    </row>
    <row r="56" spans="1:20" customFormat="1" hidden="1">
      <c r="A56" s="2"/>
      <c r="B56" s="2"/>
      <c r="C56" s="2"/>
      <c r="D56" s="2"/>
      <c r="E56" s="2"/>
      <c r="F56" s="2"/>
      <c r="G56" s="2"/>
      <c r="H56" s="2"/>
      <c r="I56" s="2"/>
      <c r="J56" s="2"/>
      <c r="K56" s="2"/>
      <c r="L56" s="2"/>
      <c r="M56" s="2"/>
      <c r="N56" s="2"/>
      <c r="O56" s="2"/>
      <c r="P56" s="2"/>
      <c r="Q56" s="2"/>
      <c r="R56" s="2"/>
      <c r="S56" s="2"/>
      <c r="T56" s="2"/>
    </row>
  </sheetData>
  <sheetProtection algorithmName="SHA-512" hashValue="fPF9ls9L0+NH6CxEqyKXsGbohxJzQ4OqrKN6KgTTQbeOWWrEM0sqd8Xy0WmsGSXsdK8C5Z5kziaYqG9Pk9Okqg==" saltValue="KGu3P7QZ8Y3kg67MKFyZjw==" spinCount="100000" sheet="1" objects="1" scenarios="1"/>
  <mergeCells count="12">
    <mergeCell ref="B10:C10"/>
    <mergeCell ref="B4:D4"/>
    <mergeCell ref="B5:D5"/>
    <mergeCell ref="B6:D6"/>
    <mergeCell ref="B7:D7"/>
    <mergeCell ref="B8:C8"/>
    <mergeCell ref="B17:D17"/>
    <mergeCell ref="B18:D18"/>
    <mergeCell ref="B19:D19"/>
    <mergeCell ref="B25:D25"/>
    <mergeCell ref="B12:C12"/>
    <mergeCell ref="B15:D15"/>
  </mergeCells>
  <hyperlinks>
    <hyperlink ref="B20" display="Plan énergie et climat communal (PECC)" xr:uid="{1076A8A1-C515-9740-AB73-F4DE92C0DBB5}"/>
    <hyperlink ref="B21" display="Stratégie climatique à long terme de la Suisse" xr:uid="{6DD42FA7-7632-3040-AC51-4AE23A8FE183}"/>
    <hyperlink ref="B22" display="Plan climat cantonal vaudois - 1ère génération" xr:uid="{8E352401-E6CA-A34E-9B9D-6AE164D1EC53}"/>
    <hyperlink ref="B23" display="Écobilan de nos gestes du quotidien" xr:uid="{204C4BB6-AFA6-824C-8079-A08FFA07E7A9}"/>
    <hyperlink ref="B26" display="www.quantis-intl.com" xr:uid="{F2C28F35-372A-624A-A2C9-9F73E25E04E1}"/>
  </hyperlink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21EE62-F29F-1B49-8A93-F9457360EA4C}">
  <sheetPr codeName="Sheet10">
    <tabColor theme="4"/>
  </sheetPr>
  <dimension ref="A1:D6"/>
  <sheetViews>
    <sheetView workbookViewId="0">
      <selection activeCell="D5" sqref="D5"/>
    </sheetView>
  </sheetViews>
  <sheetFormatPr baseColWidth="10" defaultRowHeight="15.75"/>
  <cols>
    <col min="1" max="1" width="21.625" customWidth="1"/>
    <col min="2" max="2" width="21.875" customWidth="1"/>
    <col min="3" max="3" width="24" customWidth="1"/>
    <col min="4" max="4" width="16.5" customWidth="1"/>
  </cols>
  <sheetData>
    <row r="1" spans="1:4">
      <c r="A1" s="26" t="s">
        <v>293</v>
      </c>
      <c r="B1" s="26" t="s">
        <v>295</v>
      </c>
      <c r="C1" s="26" t="s">
        <v>351</v>
      </c>
      <c r="D1" s="26" t="s">
        <v>293</v>
      </c>
    </row>
    <row r="2" spans="1:4">
      <c r="A2" t="s">
        <v>301</v>
      </c>
      <c r="B2" t="s">
        <v>296</v>
      </c>
      <c r="C2" t="s">
        <v>352</v>
      </c>
      <c r="D2" t="s">
        <v>301</v>
      </c>
    </row>
    <row r="3" spans="1:4">
      <c r="A3" t="s">
        <v>71</v>
      </c>
      <c r="B3" t="s">
        <v>297</v>
      </c>
      <c r="C3" t="s">
        <v>159</v>
      </c>
      <c r="D3" t="s">
        <v>71</v>
      </c>
    </row>
    <row r="4" spans="1:4">
      <c r="A4" t="s">
        <v>284</v>
      </c>
      <c r="B4" t="s">
        <v>298</v>
      </c>
      <c r="D4" t="s">
        <v>284</v>
      </c>
    </row>
    <row r="5" spans="1:4" ht="18.75">
      <c r="A5" s="111" t="s">
        <v>294</v>
      </c>
      <c r="D5" t="s">
        <v>106</v>
      </c>
    </row>
    <row r="6" spans="1:4">
      <c r="A6" t="s">
        <v>110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CF6DCF-FC4B-754F-9FCA-E433BF30558F}">
  <sheetPr codeName="Sheet11">
    <tabColor theme="4"/>
  </sheetPr>
  <dimension ref="A1:J5057"/>
  <sheetViews>
    <sheetView workbookViewId="0">
      <selection activeCell="G1" sqref="G1:G1048576"/>
    </sheetView>
  </sheetViews>
  <sheetFormatPr baseColWidth="10" defaultColWidth="8.875" defaultRowHeight="15"/>
  <cols>
    <col min="1" max="1" width="27.5" style="148" customWidth="1"/>
    <col min="2" max="6" width="20.875" style="148" customWidth="1"/>
    <col min="7" max="16384" width="8.875" style="148"/>
  </cols>
  <sheetData>
    <row r="1" spans="1:10" ht="15.75">
      <c r="A1" s="142" t="s">
        <v>248</v>
      </c>
      <c r="B1" s="142" t="s">
        <v>697</v>
      </c>
      <c r="C1" s="142" t="s">
        <v>237</v>
      </c>
      <c r="D1" s="142" t="s">
        <v>247</v>
      </c>
      <c r="E1" s="106" t="s">
        <v>246</v>
      </c>
      <c r="F1" s="142" t="s">
        <v>250</v>
      </c>
    </row>
    <row r="2" spans="1:10" ht="15.75">
      <c r="A2" t="str">
        <f>_xlfn.CONCAT(C2,D2,F2)</f>
        <v>AclensBoisCHAUFF</v>
      </c>
      <c r="B2" s="148">
        <v>5621</v>
      </c>
      <c r="C2" s="148" t="s">
        <v>383</v>
      </c>
      <c r="D2" s="148" t="s">
        <v>66</v>
      </c>
      <c r="E2" s="148">
        <v>319702.68235294003</v>
      </c>
      <c r="F2" t="s">
        <v>249</v>
      </c>
      <c r="G2"/>
      <c r="J2" s="150"/>
    </row>
    <row r="3" spans="1:10" ht="15.75">
      <c r="A3" t="str">
        <f t="shared" ref="A3:A66" si="0">_xlfn.CONCAT(C3,D3,F3)</f>
        <v>AclensCADCHAUFF</v>
      </c>
      <c r="B3" s="148">
        <v>5621</v>
      </c>
      <c r="C3" s="148" t="s">
        <v>383</v>
      </c>
      <c r="D3" s="148" t="s">
        <v>242</v>
      </c>
      <c r="E3" s="148">
        <v>252396</v>
      </c>
      <c r="F3" t="s">
        <v>249</v>
      </c>
      <c r="G3"/>
      <c r="J3" s="150"/>
    </row>
    <row r="4" spans="1:10" ht="15.75">
      <c r="A4" t="str">
        <f t="shared" si="0"/>
        <v>AclensElectricitéCHAUFF</v>
      </c>
      <c r="B4" s="148">
        <v>5621</v>
      </c>
      <c r="C4" s="148" t="s">
        <v>383</v>
      </c>
      <c r="D4" s="148" t="s">
        <v>97</v>
      </c>
      <c r="E4" s="148">
        <v>596125.59139784006</v>
      </c>
      <c r="F4" t="s">
        <v>249</v>
      </c>
      <c r="G4"/>
      <c r="J4" s="150"/>
    </row>
    <row r="5" spans="1:10" ht="15.75">
      <c r="A5" t="str">
        <f t="shared" si="0"/>
        <v>AclensGazCHAUFF</v>
      </c>
      <c r="B5" s="148">
        <v>5621</v>
      </c>
      <c r="C5" s="148" t="s">
        <v>383</v>
      </c>
      <c r="D5" s="148" t="s">
        <v>239</v>
      </c>
      <c r="E5" s="148">
        <v>3237412.1411764296</v>
      </c>
      <c r="F5" t="s">
        <v>249</v>
      </c>
      <c r="G5"/>
      <c r="J5" s="150"/>
    </row>
    <row r="6" spans="1:10" ht="15.75">
      <c r="A6" t="str">
        <f t="shared" si="0"/>
        <v>AclensMazoutCHAUFF</v>
      </c>
      <c r="B6" s="148">
        <v>5621</v>
      </c>
      <c r="C6" s="148" t="s">
        <v>383</v>
      </c>
      <c r="D6" s="148" t="s">
        <v>70</v>
      </c>
      <c r="E6" s="148">
        <v>2671903.7647059099</v>
      </c>
      <c r="F6" t="s">
        <v>249</v>
      </c>
      <c r="G6"/>
      <c r="J6" s="150"/>
    </row>
    <row r="7" spans="1:10" ht="15.75">
      <c r="A7" t="str">
        <f t="shared" si="0"/>
        <v>AclensNon renseignéCHAUFF</v>
      </c>
      <c r="B7" s="148">
        <v>5621</v>
      </c>
      <c r="C7" s="148" t="s">
        <v>383</v>
      </c>
      <c r="D7" s="148" t="s">
        <v>696</v>
      </c>
      <c r="E7" s="148">
        <v>0</v>
      </c>
      <c r="F7" t="s">
        <v>249</v>
      </c>
      <c r="G7"/>
      <c r="J7" s="150"/>
    </row>
    <row r="8" spans="1:10" ht="15.75">
      <c r="A8" t="str">
        <f t="shared" si="0"/>
        <v>AclensPACCHAUFF</v>
      </c>
      <c r="B8" s="148">
        <v>5621</v>
      </c>
      <c r="C8" s="148" t="s">
        <v>383</v>
      </c>
      <c r="D8" s="148" t="s">
        <v>69</v>
      </c>
      <c r="E8" s="148">
        <v>49117.139784959996</v>
      </c>
      <c r="F8" t="s">
        <v>249</v>
      </c>
      <c r="G8"/>
      <c r="J8" s="150"/>
    </row>
    <row r="9" spans="1:10" ht="15.75">
      <c r="A9" t="str">
        <f t="shared" si="0"/>
        <v>AclensSolaireCHAUFF</v>
      </c>
      <c r="B9" s="148">
        <v>5621</v>
      </c>
      <c r="C9" s="148" t="s">
        <v>383</v>
      </c>
      <c r="D9" s="148" t="s">
        <v>240</v>
      </c>
      <c r="E9" s="148">
        <v>44985.599999999999</v>
      </c>
      <c r="F9" t="s">
        <v>249</v>
      </c>
      <c r="G9"/>
      <c r="J9" s="150"/>
    </row>
    <row r="10" spans="1:10" ht="15.75">
      <c r="A10" t="str">
        <f t="shared" si="0"/>
        <v>AgiezBoisCHAUFF</v>
      </c>
      <c r="B10" s="148">
        <v>5742</v>
      </c>
      <c r="C10" s="148" t="s">
        <v>384</v>
      </c>
      <c r="D10" s="148" t="s">
        <v>66</v>
      </c>
      <c r="E10" s="148">
        <v>1033419.4823529499</v>
      </c>
      <c r="F10" t="s">
        <v>249</v>
      </c>
      <c r="G10"/>
    </row>
    <row r="11" spans="1:10" ht="15.75">
      <c r="A11" t="str">
        <f t="shared" si="0"/>
        <v>AgiezCADCHAUFF</v>
      </c>
      <c r="B11" s="148">
        <v>5742</v>
      </c>
      <c r="C11" s="148" t="s">
        <v>384</v>
      </c>
      <c r="D11" s="148" t="s">
        <v>242</v>
      </c>
      <c r="E11" s="148" t="e">
        <v>#N/A</v>
      </c>
      <c r="F11" t="s">
        <v>249</v>
      </c>
      <c r="G11"/>
    </row>
    <row r="12" spans="1:10" ht="15.75">
      <c r="A12" t="str">
        <f t="shared" si="0"/>
        <v>AgiezElectricitéCHAUFF</v>
      </c>
      <c r="B12" s="148">
        <v>5742</v>
      </c>
      <c r="C12" s="148" t="s">
        <v>384</v>
      </c>
      <c r="D12" s="148" t="s">
        <v>97</v>
      </c>
      <c r="E12" s="148">
        <v>240360.43010753</v>
      </c>
      <c r="F12" t="s">
        <v>249</v>
      </c>
      <c r="G12"/>
    </row>
    <row r="13" spans="1:10" ht="15.75">
      <c r="A13" t="str">
        <f t="shared" si="0"/>
        <v>AgiezGazCHAUFF</v>
      </c>
      <c r="B13" s="148">
        <v>5742</v>
      </c>
      <c r="C13" s="148" t="s">
        <v>384</v>
      </c>
      <c r="D13" s="148" t="s">
        <v>239</v>
      </c>
      <c r="E13" s="148">
        <v>1706978.3325077202</v>
      </c>
      <c r="F13" t="s">
        <v>249</v>
      </c>
      <c r="G13"/>
    </row>
    <row r="14" spans="1:10" ht="15.75">
      <c r="A14" t="str">
        <f t="shared" si="0"/>
        <v>AgiezMazoutCHAUFF</v>
      </c>
      <c r="B14" s="148">
        <v>5742</v>
      </c>
      <c r="C14" s="148" t="s">
        <v>384</v>
      </c>
      <c r="D14" s="148" t="s">
        <v>70</v>
      </c>
      <c r="E14" s="148">
        <v>1069134.3529411699</v>
      </c>
      <c r="F14" t="s">
        <v>249</v>
      </c>
      <c r="G14"/>
    </row>
    <row r="15" spans="1:10" ht="15.75">
      <c r="A15" t="str">
        <f t="shared" si="0"/>
        <v>AgiezNon renseignéCHAUFF</v>
      </c>
      <c r="B15" s="148">
        <v>5742</v>
      </c>
      <c r="C15" s="148" t="s">
        <v>384</v>
      </c>
      <c r="D15" s="148" t="s">
        <v>696</v>
      </c>
      <c r="E15" s="148">
        <v>0</v>
      </c>
      <c r="F15" t="s">
        <v>249</v>
      </c>
      <c r="G15"/>
    </row>
    <row r="16" spans="1:10" ht="15.75">
      <c r="A16" t="str">
        <f t="shared" si="0"/>
        <v>AgiezPACCHAUFF</v>
      </c>
      <c r="B16" s="148">
        <v>5742</v>
      </c>
      <c r="C16" s="148" t="s">
        <v>384</v>
      </c>
      <c r="D16" s="148" t="s">
        <v>69</v>
      </c>
      <c r="E16" s="148">
        <v>137259.66747180998</v>
      </c>
      <c r="F16" t="s">
        <v>249</v>
      </c>
      <c r="G16"/>
    </row>
    <row r="17" spans="1:7" ht="15.75">
      <c r="A17" t="str">
        <f t="shared" si="0"/>
        <v>AgiezSolaireCHAUFF</v>
      </c>
      <c r="B17" s="148">
        <v>5742</v>
      </c>
      <c r="C17" s="148" t="s">
        <v>384</v>
      </c>
      <c r="D17" s="148" t="s">
        <v>240</v>
      </c>
      <c r="E17" s="148">
        <v>31789.52</v>
      </c>
      <c r="F17" t="s">
        <v>249</v>
      </c>
      <c r="G17"/>
    </row>
    <row r="18" spans="1:7" ht="15.75">
      <c r="A18" t="str">
        <f t="shared" si="0"/>
        <v>AigleAutre agent énergétiqueCHAUFF</v>
      </c>
      <c r="B18" s="148">
        <v>5401</v>
      </c>
      <c r="C18" s="148" t="s">
        <v>385</v>
      </c>
      <c r="D18" s="148" t="s">
        <v>245</v>
      </c>
      <c r="E18" s="148">
        <v>25679.058823530002</v>
      </c>
      <c r="F18" t="s">
        <v>249</v>
      </c>
      <c r="G18"/>
    </row>
    <row r="19" spans="1:7" ht="15.75">
      <c r="A19" t="str">
        <f t="shared" si="0"/>
        <v>AigleBoisCHAUFF</v>
      </c>
      <c r="B19" s="148">
        <v>5401</v>
      </c>
      <c r="C19" s="148" t="s">
        <v>385</v>
      </c>
      <c r="D19" s="148" t="s">
        <v>66</v>
      </c>
      <c r="E19" s="148">
        <v>1204044.4274509798</v>
      </c>
      <c r="F19" t="s">
        <v>249</v>
      </c>
      <c r="G19"/>
    </row>
    <row r="20" spans="1:7" ht="15.75">
      <c r="A20" t="str">
        <f t="shared" si="0"/>
        <v>AigleCADCHAUFF</v>
      </c>
      <c r="B20" s="148">
        <v>5401</v>
      </c>
      <c r="C20" s="148" t="s">
        <v>385</v>
      </c>
      <c r="D20" s="148" t="s">
        <v>242</v>
      </c>
      <c r="E20" s="148">
        <v>292135.59999999998</v>
      </c>
      <c r="F20" t="s">
        <v>249</v>
      </c>
      <c r="G20"/>
    </row>
    <row r="21" spans="1:7" ht="15.75">
      <c r="A21" t="str">
        <f t="shared" si="0"/>
        <v>AigleElectricitéCHAUFF</v>
      </c>
      <c r="B21" s="148">
        <v>5401</v>
      </c>
      <c r="C21" s="148" t="s">
        <v>385</v>
      </c>
      <c r="D21" s="148" t="s">
        <v>97</v>
      </c>
      <c r="E21" s="148">
        <v>1203369.1929158594</v>
      </c>
      <c r="F21" t="s">
        <v>249</v>
      </c>
      <c r="G21"/>
    </row>
    <row r="22" spans="1:7" ht="15.75">
      <c r="A22" t="str">
        <f t="shared" si="0"/>
        <v>AigleGazCHAUFF</v>
      </c>
      <c r="B22" s="148">
        <v>5401</v>
      </c>
      <c r="C22" s="148" t="s">
        <v>385</v>
      </c>
      <c r="D22" s="148" t="s">
        <v>239</v>
      </c>
      <c r="E22" s="148">
        <v>42957582.196904086</v>
      </c>
      <c r="F22" t="s">
        <v>249</v>
      </c>
      <c r="G22"/>
    </row>
    <row r="23" spans="1:7" ht="15.75">
      <c r="A23" t="str">
        <f t="shared" si="0"/>
        <v>AigleMazoutCHAUFF</v>
      </c>
      <c r="B23" s="148">
        <v>5401</v>
      </c>
      <c r="C23" s="148" t="s">
        <v>385</v>
      </c>
      <c r="D23" s="148" t="s">
        <v>70</v>
      </c>
      <c r="E23" s="148">
        <v>22078747.991726011</v>
      </c>
      <c r="F23" t="s">
        <v>249</v>
      </c>
      <c r="G23"/>
    </row>
    <row r="24" spans="1:7" ht="15.75">
      <c r="A24" t="str">
        <f t="shared" si="0"/>
        <v>AigleNon renseignéCHAUFF</v>
      </c>
      <c r="B24" s="148">
        <v>5401</v>
      </c>
      <c r="C24" s="148" t="s">
        <v>385</v>
      </c>
      <c r="D24" s="148" t="s">
        <v>696</v>
      </c>
      <c r="E24" s="148">
        <v>0</v>
      </c>
      <c r="F24" t="s">
        <v>249</v>
      </c>
      <c r="G24"/>
    </row>
    <row r="25" spans="1:7" ht="15.75">
      <c r="A25" t="str">
        <f t="shared" si="0"/>
        <v>AiglePACCHAUFF</v>
      </c>
      <c r="B25" s="148">
        <v>5401</v>
      </c>
      <c r="C25" s="148" t="s">
        <v>385</v>
      </c>
      <c r="D25" s="148" t="s">
        <v>69</v>
      </c>
      <c r="E25" s="148">
        <v>1002781.9271102701</v>
      </c>
      <c r="F25" t="s">
        <v>249</v>
      </c>
      <c r="G25"/>
    </row>
    <row r="26" spans="1:7" ht="15.75">
      <c r="A26" t="str">
        <f t="shared" si="0"/>
        <v>AigleSolaireCHAUFF</v>
      </c>
      <c r="B26" s="148">
        <v>5401</v>
      </c>
      <c r="C26" s="148" t="s">
        <v>385</v>
      </c>
      <c r="D26" s="148" t="s">
        <v>240</v>
      </c>
      <c r="E26" s="148">
        <v>83848</v>
      </c>
      <c r="F26" t="s">
        <v>249</v>
      </c>
      <c r="G26"/>
    </row>
    <row r="27" spans="1:7" ht="15.75">
      <c r="A27" t="str">
        <f t="shared" si="0"/>
        <v>AllamanBoisCHAUFF</v>
      </c>
      <c r="B27" s="148">
        <v>5851</v>
      </c>
      <c r="C27" s="148" t="s">
        <v>386</v>
      </c>
      <c r="D27" s="148" t="s">
        <v>66</v>
      </c>
      <c r="E27" s="148">
        <v>456093.86666667002</v>
      </c>
      <c r="F27" t="s">
        <v>249</v>
      </c>
      <c r="G27"/>
    </row>
    <row r="28" spans="1:7" ht="15.75">
      <c r="A28" t="str">
        <f t="shared" si="0"/>
        <v>AllamanCADCHAUFF</v>
      </c>
      <c r="B28" s="148">
        <v>5851</v>
      </c>
      <c r="C28" s="148" t="s">
        <v>386</v>
      </c>
      <c r="D28" s="148" t="s">
        <v>242</v>
      </c>
      <c r="E28" s="148">
        <v>83484.800000000003</v>
      </c>
      <c r="F28" t="s">
        <v>249</v>
      </c>
      <c r="G28"/>
    </row>
    <row r="29" spans="1:7" ht="15.75">
      <c r="A29" t="str">
        <f t="shared" si="0"/>
        <v>AllamanElectricitéCHAUFF</v>
      </c>
      <c r="B29" s="148">
        <v>5851</v>
      </c>
      <c r="C29" s="148" t="s">
        <v>386</v>
      </c>
      <c r="D29" s="148" t="s">
        <v>97</v>
      </c>
      <c r="E29" s="148">
        <v>546448.172043</v>
      </c>
      <c r="F29" t="s">
        <v>249</v>
      </c>
      <c r="G29"/>
    </row>
    <row r="30" spans="1:7" ht="15.75">
      <c r="A30" t="str">
        <f t="shared" si="0"/>
        <v>AllamanGazCHAUFF</v>
      </c>
      <c r="B30" s="148">
        <v>5851</v>
      </c>
      <c r="C30" s="148" t="s">
        <v>386</v>
      </c>
      <c r="D30" s="148" t="s">
        <v>239</v>
      </c>
      <c r="E30" s="148">
        <v>492754.82352941006</v>
      </c>
      <c r="F30" t="s">
        <v>249</v>
      </c>
      <c r="G30"/>
    </row>
    <row r="31" spans="1:7" ht="15.75">
      <c r="A31" t="str">
        <f t="shared" si="0"/>
        <v>AllamanMazoutCHAUFF</v>
      </c>
      <c r="B31" s="148">
        <v>5851</v>
      </c>
      <c r="C31" s="148" t="s">
        <v>386</v>
      </c>
      <c r="D31" s="148" t="s">
        <v>70</v>
      </c>
      <c r="E31" s="148">
        <v>4065003.2941176514</v>
      </c>
      <c r="F31" t="s">
        <v>249</v>
      </c>
      <c r="G31"/>
    </row>
    <row r="32" spans="1:7" ht="15.75">
      <c r="A32" t="str">
        <f t="shared" si="0"/>
        <v>AllamanNon renseignéCHAUFF</v>
      </c>
      <c r="B32" s="148">
        <v>5851</v>
      </c>
      <c r="C32" s="148" t="s">
        <v>386</v>
      </c>
      <c r="D32" s="148" t="s">
        <v>696</v>
      </c>
      <c r="E32" s="148">
        <v>0</v>
      </c>
      <c r="F32" t="s">
        <v>249</v>
      </c>
      <c r="G32"/>
    </row>
    <row r="33" spans="1:7" ht="15.75">
      <c r="A33" t="str">
        <f t="shared" si="0"/>
        <v>AllamanPACCHAUFF</v>
      </c>
      <c r="B33" s="148">
        <v>5851</v>
      </c>
      <c r="C33" s="148" t="s">
        <v>386</v>
      </c>
      <c r="D33" s="148" t="s">
        <v>69</v>
      </c>
      <c r="E33" s="148">
        <v>152670.54336919996</v>
      </c>
      <c r="F33" t="s">
        <v>249</v>
      </c>
      <c r="G33"/>
    </row>
    <row r="34" spans="1:7" ht="15.75">
      <c r="A34" t="str">
        <f t="shared" si="0"/>
        <v>AllamanSolaireCHAUFF</v>
      </c>
      <c r="B34" s="148">
        <v>5851</v>
      </c>
      <c r="C34" s="148" t="s">
        <v>386</v>
      </c>
      <c r="D34" s="148" t="s">
        <v>240</v>
      </c>
      <c r="E34" s="148" t="e">
        <v>#N/A</v>
      </c>
      <c r="F34" t="s">
        <v>249</v>
      </c>
      <c r="G34"/>
    </row>
    <row r="35" spans="1:7" ht="15.75">
      <c r="A35" t="str">
        <f t="shared" si="0"/>
        <v>ApplesBoisCHAUFF</v>
      </c>
      <c r="B35" s="148">
        <v>5421</v>
      </c>
      <c r="C35" s="148" t="s">
        <v>387</v>
      </c>
      <c r="D35" s="148" t="s">
        <v>66</v>
      </c>
      <c r="E35" s="148" t="e">
        <v>#N/A</v>
      </c>
      <c r="F35" t="s">
        <v>249</v>
      </c>
      <c r="G35"/>
    </row>
    <row r="36" spans="1:7" ht="15.75">
      <c r="A36" t="str">
        <f t="shared" si="0"/>
        <v>ApplesCADCHAUFF</v>
      </c>
      <c r="B36" s="148">
        <v>5421</v>
      </c>
      <c r="C36" s="148" t="s">
        <v>387</v>
      </c>
      <c r="D36" s="148" t="s">
        <v>242</v>
      </c>
      <c r="E36" s="148" t="e">
        <v>#N/A</v>
      </c>
      <c r="F36" t="s">
        <v>249</v>
      </c>
      <c r="G36"/>
    </row>
    <row r="37" spans="1:7" ht="15.75">
      <c r="A37" t="str">
        <f t="shared" si="0"/>
        <v>ApplesElectricitéCHAUFF</v>
      </c>
      <c r="B37" s="148">
        <v>5421</v>
      </c>
      <c r="C37" s="148" t="s">
        <v>387</v>
      </c>
      <c r="D37" s="148" t="s">
        <v>97</v>
      </c>
      <c r="E37" s="148" t="e">
        <v>#N/A</v>
      </c>
      <c r="F37" t="s">
        <v>249</v>
      </c>
      <c r="G37"/>
    </row>
    <row r="38" spans="1:7" ht="15.75">
      <c r="A38" t="str">
        <f t="shared" si="0"/>
        <v>ApplesGazCHAUFF</v>
      </c>
      <c r="B38" s="148">
        <v>5421</v>
      </c>
      <c r="C38" s="148" t="s">
        <v>387</v>
      </c>
      <c r="D38" s="148" t="s">
        <v>239</v>
      </c>
      <c r="E38" s="148" t="e">
        <v>#N/A</v>
      </c>
      <c r="F38" t="s">
        <v>249</v>
      </c>
      <c r="G38"/>
    </row>
    <row r="39" spans="1:7" ht="15.75">
      <c r="A39" t="str">
        <f t="shared" si="0"/>
        <v>ApplesMazoutCHAUFF</v>
      </c>
      <c r="B39" s="148">
        <v>5421</v>
      </c>
      <c r="C39" s="148" t="s">
        <v>387</v>
      </c>
      <c r="D39" s="148" t="s">
        <v>70</v>
      </c>
      <c r="E39" s="148" t="e">
        <v>#N/A</v>
      </c>
      <c r="F39" t="s">
        <v>249</v>
      </c>
      <c r="G39"/>
    </row>
    <row r="40" spans="1:7" ht="15.75">
      <c r="A40" t="str">
        <f t="shared" si="0"/>
        <v>ApplesNon renseignéCHAUFF</v>
      </c>
      <c r="B40" s="148">
        <v>5421</v>
      </c>
      <c r="C40" s="148" t="s">
        <v>387</v>
      </c>
      <c r="D40" s="148" t="s">
        <v>696</v>
      </c>
      <c r="E40" s="148" t="e">
        <v>#N/A</v>
      </c>
      <c r="F40" t="s">
        <v>249</v>
      </c>
      <c r="G40"/>
    </row>
    <row r="41" spans="1:7" ht="15.75">
      <c r="A41" t="str">
        <f t="shared" si="0"/>
        <v>ApplesPACCHAUFF</v>
      </c>
      <c r="B41" s="148">
        <v>5421</v>
      </c>
      <c r="C41" s="148" t="s">
        <v>387</v>
      </c>
      <c r="D41" s="148" t="s">
        <v>69</v>
      </c>
      <c r="E41" s="148" t="e">
        <v>#N/A</v>
      </c>
      <c r="F41" t="s">
        <v>249</v>
      </c>
      <c r="G41"/>
    </row>
    <row r="42" spans="1:7" ht="15.75">
      <c r="A42" t="str">
        <f t="shared" si="0"/>
        <v>ApplesSolaireCHAUFF</v>
      </c>
      <c r="B42" s="148">
        <v>5421</v>
      </c>
      <c r="C42" s="148" t="s">
        <v>387</v>
      </c>
      <c r="D42" s="148" t="s">
        <v>240</v>
      </c>
      <c r="E42" s="148" t="e">
        <v>#N/A</v>
      </c>
      <c r="F42" t="s">
        <v>249</v>
      </c>
      <c r="G42"/>
    </row>
    <row r="43" spans="1:7" ht="15.75">
      <c r="A43" t="str">
        <f t="shared" si="0"/>
        <v>Arnex-sur-NyonBoisCHAUFF</v>
      </c>
      <c r="B43" s="148">
        <v>5701</v>
      </c>
      <c r="C43" s="148" t="s">
        <v>671</v>
      </c>
      <c r="D43" s="148" t="s">
        <v>66</v>
      </c>
      <c r="E43" s="148">
        <v>153284.26666667001</v>
      </c>
      <c r="F43" t="s">
        <v>249</v>
      </c>
      <c r="G43"/>
    </row>
    <row r="44" spans="1:7" ht="15.75">
      <c r="A44" t="str">
        <f t="shared" si="0"/>
        <v>Arnex-sur-NyonCADCHAUFF</v>
      </c>
      <c r="B44" s="148">
        <v>5701</v>
      </c>
      <c r="C44" s="148" t="s">
        <v>671</v>
      </c>
      <c r="D44" s="148" t="s">
        <v>242</v>
      </c>
      <c r="E44" s="148">
        <v>26576</v>
      </c>
      <c r="F44" t="s">
        <v>249</v>
      </c>
      <c r="G44"/>
    </row>
    <row r="45" spans="1:7" ht="15.75">
      <c r="A45" t="str">
        <f t="shared" si="0"/>
        <v>Arnex-sur-NyonElectricitéCHAUFF</v>
      </c>
      <c r="B45" s="148">
        <v>5701</v>
      </c>
      <c r="C45" s="148" t="s">
        <v>671</v>
      </c>
      <c r="D45" s="148" t="s">
        <v>97</v>
      </c>
      <c r="E45" s="148">
        <v>353520.77419353998</v>
      </c>
      <c r="F45" t="s">
        <v>249</v>
      </c>
      <c r="G45"/>
    </row>
    <row r="46" spans="1:7" ht="15.75">
      <c r="A46" t="str">
        <f t="shared" si="0"/>
        <v>Arnex-sur-NyonGazCHAUFF</v>
      </c>
      <c r="B46" s="148">
        <v>5701</v>
      </c>
      <c r="C46" s="148" t="s">
        <v>671</v>
      </c>
      <c r="D46" s="148" t="s">
        <v>239</v>
      </c>
      <c r="E46" s="148">
        <v>16048.94117647</v>
      </c>
      <c r="F46" t="s">
        <v>249</v>
      </c>
      <c r="G46"/>
    </row>
    <row r="47" spans="1:7" ht="15.75">
      <c r="A47" t="str">
        <f t="shared" si="0"/>
        <v>Arnex-sur-NyonMazoutCHAUFF</v>
      </c>
      <c r="B47" s="148">
        <v>5701</v>
      </c>
      <c r="C47" s="148" t="s">
        <v>671</v>
      </c>
      <c r="D47" s="148" t="s">
        <v>70</v>
      </c>
      <c r="E47" s="148">
        <v>1185812.4705882499</v>
      </c>
      <c r="F47" t="s">
        <v>249</v>
      </c>
      <c r="G47"/>
    </row>
    <row r="48" spans="1:7" ht="15.75">
      <c r="A48" t="str">
        <f t="shared" si="0"/>
        <v>Arnex-sur-NyonNon renseignéCHAUFF</v>
      </c>
      <c r="B48" s="148">
        <v>5701</v>
      </c>
      <c r="C48" s="148" t="s">
        <v>671</v>
      </c>
      <c r="D48" s="148" t="s">
        <v>696</v>
      </c>
      <c r="E48" s="148">
        <v>0</v>
      </c>
      <c r="F48" t="s">
        <v>249</v>
      </c>
      <c r="G48"/>
    </row>
    <row r="49" spans="1:7" ht="15.75">
      <c r="A49" t="str">
        <f t="shared" si="0"/>
        <v>Arnex-sur-NyonPACCHAUFF</v>
      </c>
      <c r="B49" s="148">
        <v>5701</v>
      </c>
      <c r="C49" s="148" t="s">
        <v>671</v>
      </c>
      <c r="D49" s="148" t="s">
        <v>69</v>
      </c>
      <c r="E49" s="148">
        <v>261632.89366787003</v>
      </c>
      <c r="F49" t="s">
        <v>249</v>
      </c>
      <c r="G49"/>
    </row>
    <row r="50" spans="1:7" ht="15.75">
      <c r="A50" t="str">
        <f t="shared" si="0"/>
        <v>Arnex-sur-NyonSolaireCHAUFF</v>
      </c>
      <c r="B50" s="148">
        <v>5701</v>
      </c>
      <c r="C50" s="148" t="s">
        <v>671</v>
      </c>
      <c r="D50" s="148" t="s">
        <v>240</v>
      </c>
      <c r="E50" s="148">
        <v>91808</v>
      </c>
      <c r="F50" t="s">
        <v>249</v>
      </c>
      <c r="G50"/>
    </row>
    <row r="51" spans="1:7" ht="15.75">
      <c r="A51" t="str">
        <f t="shared" si="0"/>
        <v>Arnex-sur-OrbeBoisCHAUFF</v>
      </c>
      <c r="B51" s="148">
        <v>5743</v>
      </c>
      <c r="C51" s="148" t="s">
        <v>670</v>
      </c>
      <c r="D51" s="148" t="s">
        <v>66</v>
      </c>
      <c r="E51" s="148">
        <v>1341015.7152941204</v>
      </c>
      <c r="F51" t="s">
        <v>249</v>
      </c>
      <c r="G51"/>
    </row>
    <row r="52" spans="1:7" ht="15.75">
      <c r="A52" t="str">
        <f t="shared" si="0"/>
        <v>Arnex-sur-OrbeCADCHAUFF</v>
      </c>
      <c r="B52" s="148">
        <v>5743</v>
      </c>
      <c r="C52" s="148" t="s">
        <v>670</v>
      </c>
      <c r="D52" s="148" t="s">
        <v>242</v>
      </c>
      <c r="E52" s="148">
        <v>23534</v>
      </c>
      <c r="F52" t="s">
        <v>249</v>
      </c>
      <c r="G52"/>
    </row>
    <row r="53" spans="1:7" ht="15.75">
      <c r="A53" t="str">
        <f t="shared" si="0"/>
        <v>Arnex-sur-OrbeElectricitéCHAUFF</v>
      </c>
      <c r="B53" s="148">
        <v>5743</v>
      </c>
      <c r="C53" s="148" t="s">
        <v>670</v>
      </c>
      <c r="D53" s="148" t="s">
        <v>97</v>
      </c>
      <c r="E53" s="148">
        <v>1004591.0107527</v>
      </c>
      <c r="F53" t="s">
        <v>249</v>
      </c>
      <c r="G53"/>
    </row>
    <row r="54" spans="1:7" ht="15.75">
      <c r="A54" t="str">
        <f t="shared" si="0"/>
        <v>Arnex-sur-OrbeGazCHAUFF</v>
      </c>
      <c r="B54" s="148">
        <v>5743</v>
      </c>
      <c r="C54" s="148" t="s">
        <v>670</v>
      </c>
      <c r="D54" s="148" t="s">
        <v>239</v>
      </c>
      <c r="E54" s="148">
        <v>3516833.9470421588</v>
      </c>
      <c r="F54" t="s">
        <v>249</v>
      </c>
      <c r="G54"/>
    </row>
    <row r="55" spans="1:7" ht="15.75">
      <c r="A55" t="str">
        <f t="shared" si="0"/>
        <v>Arnex-sur-OrbeMazoutCHAUFF</v>
      </c>
      <c r="B55" s="148">
        <v>5743</v>
      </c>
      <c r="C55" s="148" t="s">
        <v>670</v>
      </c>
      <c r="D55" s="148" t="s">
        <v>70</v>
      </c>
      <c r="E55" s="148">
        <v>1903845.9411764606</v>
      </c>
      <c r="F55" t="s">
        <v>249</v>
      </c>
      <c r="G55"/>
    </row>
    <row r="56" spans="1:7" ht="15.75">
      <c r="A56" t="str">
        <f t="shared" si="0"/>
        <v>Arnex-sur-OrbeNon renseignéCHAUFF</v>
      </c>
      <c r="B56" s="148">
        <v>5743</v>
      </c>
      <c r="C56" s="148" t="s">
        <v>670</v>
      </c>
      <c r="D56" s="148" t="s">
        <v>696</v>
      </c>
      <c r="E56" s="148">
        <v>0</v>
      </c>
      <c r="F56" t="s">
        <v>249</v>
      </c>
      <c r="G56"/>
    </row>
    <row r="57" spans="1:7" ht="15.75">
      <c r="A57" t="str">
        <f t="shared" si="0"/>
        <v>Arnex-sur-OrbePACCHAUFF</v>
      </c>
      <c r="B57" s="148">
        <v>5743</v>
      </c>
      <c r="C57" s="148" t="s">
        <v>670</v>
      </c>
      <c r="D57" s="148" t="s">
        <v>69</v>
      </c>
      <c r="E57" s="148">
        <v>231727.31111110002</v>
      </c>
      <c r="F57" t="s">
        <v>249</v>
      </c>
      <c r="G57"/>
    </row>
    <row r="58" spans="1:7" ht="15.75">
      <c r="A58" t="str">
        <f t="shared" si="0"/>
        <v>Arnex-sur-OrbeSolaireCHAUFF</v>
      </c>
      <c r="B58" s="148">
        <v>5743</v>
      </c>
      <c r="C58" s="148" t="s">
        <v>670</v>
      </c>
      <c r="D58" s="148" t="s">
        <v>240</v>
      </c>
      <c r="E58" s="148">
        <v>16353</v>
      </c>
      <c r="F58" t="s">
        <v>249</v>
      </c>
      <c r="G58"/>
    </row>
    <row r="59" spans="1:7" ht="15.75">
      <c r="A59" t="str">
        <f t="shared" si="0"/>
        <v>Arzier-Le MuidsAutre agent énergétiqueCHAUFF</v>
      </c>
      <c r="B59" s="148">
        <v>5702</v>
      </c>
      <c r="C59" s="148" t="s">
        <v>388</v>
      </c>
      <c r="D59" s="148" t="s">
        <v>245</v>
      </c>
      <c r="E59" s="148">
        <v>212251.29411764001</v>
      </c>
      <c r="F59" t="s">
        <v>249</v>
      </c>
      <c r="G59"/>
    </row>
    <row r="60" spans="1:7" ht="15.75">
      <c r="A60" t="str">
        <f t="shared" si="0"/>
        <v>Arzier-Le MuidsBoisCHAUFF</v>
      </c>
      <c r="B60" s="148">
        <v>5702</v>
      </c>
      <c r="C60" s="148" t="s">
        <v>388</v>
      </c>
      <c r="D60" s="148" t="s">
        <v>66</v>
      </c>
      <c r="E60" s="148">
        <v>2658568.0368627501</v>
      </c>
      <c r="F60" t="s">
        <v>249</v>
      </c>
      <c r="G60"/>
    </row>
    <row r="61" spans="1:7" ht="15.75">
      <c r="A61" t="str">
        <f t="shared" si="0"/>
        <v>Arzier-Le MuidsCADCHAUFF</v>
      </c>
      <c r="B61" s="148">
        <v>5702</v>
      </c>
      <c r="C61" s="148" t="s">
        <v>388</v>
      </c>
      <c r="D61" s="148" t="s">
        <v>242</v>
      </c>
      <c r="E61" s="148">
        <v>400642.6</v>
      </c>
      <c r="F61" t="s">
        <v>249</v>
      </c>
      <c r="G61"/>
    </row>
    <row r="62" spans="1:7" ht="15.75">
      <c r="A62" t="str">
        <f t="shared" si="0"/>
        <v>Arzier-Le MuidsCharbonCHAUFF</v>
      </c>
      <c r="B62" s="148">
        <v>5702</v>
      </c>
      <c r="C62" s="148" t="s">
        <v>388</v>
      </c>
      <c r="D62" s="148" t="s">
        <v>695</v>
      </c>
      <c r="E62" s="148" t="e">
        <v>#N/A</v>
      </c>
      <c r="F62" t="s">
        <v>249</v>
      </c>
      <c r="G62"/>
    </row>
    <row r="63" spans="1:7" ht="15.75">
      <c r="A63" t="str">
        <f t="shared" si="0"/>
        <v>Arzier-Le MuidsElectricitéCHAUFF</v>
      </c>
      <c r="B63" s="148">
        <v>5702</v>
      </c>
      <c r="C63" s="148" t="s">
        <v>388</v>
      </c>
      <c r="D63" s="148" t="s">
        <v>97</v>
      </c>
      <c r="E63" s="148">
        <v>6912833.6559140217</v>
      </c>
      <c r="F63" t="s">
        <v>249</v>
      </c>
      <c r="G63"/>
    </row>
    <row r="64" spans="1:7" ht="15.75">
      <c r="A64" t="str">
        <f t="shared" si="0"/>
        <v>Arzier-Le MuidsGazCHAUFF</v>
      </c>
      <c r="B64" s="148">
        <v>5702</v>
      </c>
      <c r="C64" s="148" t="s">
        <v>388</v>
      </c>
      <c r="D64" s="148" t="s">
        <v>239</v>
      </c>
      <c r="E64" s="148">
        <v>659880.23529413005</v>
      </c>
      <c r="F64" t="s">
        <v>249</v>
      </c>
      <c r="G64"/>
    </row>
    <row r="65" spans="1:7" ht="15.75">
      <c r="A65" t="str">
        <f t="shared" si="0"/>
        <v>Arzier-Le MuidsMazoutCHAUFF</v>
      </c>
      <c r="B65" s="148">
        <v>5702</v>
      </c>
      <c r="C65" s="148" t="s">
        <v>388</v>
      </c>
      <c r="D65" s="148" t="s">
        <v>70</v>
      </c>
      <c r="E65" s="148">
        <v>11416203.615384595</v>
      </c>
      <c r="F65" t="s">
        <v>249</v>
      </c>
      <c r="G65"/>
    </row>
    <row r="66" spans="1:7" ht="15.75">
      <c r="A66" t="str">
        <f t="shared" si="0"/>
        <v>Arzier-Le MuidsNon renseignéCHAUFF</v>
      </c>
      <c r="B66" s="148">
        <v>5702</v>
      </c>
      <c r="C66" s="148" t="s">
        <v>388</v>
      </c>
      <c r="D66" s="148" t="s">
        <v>696</v>
      </c>
      <c r="E66" s="148">
        <v>0</v>
      </c>
      <c r="F66" t="s">
        <v>249</v>
      </c>
      <c r="G66"/>
    </row>
    <row r="67" spans="1:7" ht="15.75">
      <c r="A67" t="str">
        <f t="shared" ref="A67:A130" si="1">_xlfn.CONCAT(C67,D67,F67)</f>
        <v>Arzier-Le MuidsPACCHAUFF</v>
      </c>
      <c r="B67" s="148">
        <v>5702</v>
      </c>
      <c r="C67" s="148" t="s">
        <v>388</v>
      </c>
      <c r="D67" s="148" t="s">
        <v>69</v>
      </c>
      <c r="E67" s="148">
        <v>1777078.8464375986</v>
      </c>
      <c r="F67" t="s">
        <v>249</v>
      </c>
      <c r="G67"/>
    </row>
    <row r="68" spans="1:7" ht="15.75">
      <c r="A68" t="str">
        <f t="shared" si="1"/>
        <v>Arzier-Le MuidsSolaireCHAUFF</v>
      </c>
      <c r="B68" s="148">
        <v>5702</v>
      </c>
      <c r="C68" s="148" t="s">
        <v>388</v>
      </c>
      <c r="D68" s="148" t="s">
        <v>240</v>
      </c>
      <c r="E68" s="148">
        <v>26414.400000000001</v>
      </c>
      <c r="F68" t="s">
        <v>249</v>
      </c>
      <c r="G68"/>
    </row>
    <row r="69" spans="1:7" ht="15.75">
      <c r="A69" t="str">
        <f t="shared" si="1"/>
        <v>AssensAutre agent énergétiqueCHAUFF</v>
      </c>
      <c r="B69" s="148">
        <v>5511</v>
      </c>
      <c r="C69" s="148" t="s">
        <v>389</v>
      </c>
      <c r="D69" s="148" t="s">
        <v>245</v>
      </c>
      <c r="E69" s="148">
        <v>31132.235294120001</v>
      </c>
      <c r="F69" t="s">
        <v>249</v>
      </c>
      <c r="G69"/>
    </row>
    <row r="70" spans="1:7" ht="15.75">
      <c r="A70" t="str">
        <f t="shared" si="1"/>
        <v>AssensBoisCHAUFF</v>
      </c>
      <c r="B70" s="148">
        <v>5511</v>
      </c>
      <c r="C70" s="148" t="s">
        <v>389</v>
      </c>
      <c r="D70" s="148" t="s">
        <v>66</v>
      </c>
      <c r="E70" s="148">
        <v>749160</v>
      </c>
      <c r="F70" t="s">
        <v>249</v>
      </c>
      <c r="G70"/>
    </row>
    <row r="71" spans="1:7" ht="15.75">
      <c r="A71" t="str">
        <f t="shared" si="1"/>
        <v>AssensElectricitéCHAUFF</v>
      </c>
      <c r="B71" s="148">
        <v>5511</v>
      </c>
      <c r="C71" s="148" t="s">
        <v>389</v>
      </c>
      <c r="D71" s="148" t="s">
        <v>97</v>
      </c>
      <c r="E71" s="148">
        <v>1916050.7096774005</v>
      </c>
      <c r="F71" t="s">
        <v>249</v>
      </c>
      <c r="G71"/>
    </row>
    <row r="72" spans="1:7" ht="15.75">
      <c r="A72" t="str">
        <f t="shared" si="1"/>
        <v>AssensGazCHAUFF</v>
      </c>
      <c r="B72" s="148">
        <v>5511</v>
      </c>
      <c r="C72" s="148" t="s">
        <v>389</v>
      </c>
      <c r="D72" s="148" t="s">
        <v>239</v>
      </c>
      <c r="E72" s="148">
        <v>5628781.6272446206</v>
      </c>
      <c r="F72" t="s">
        <v>249</v>
      </c>
      <c r="G72"/>
    </row>
    <row r="73" spans="1:7" ht="15.75">
      <c r="A73" t="str">
        <f t="shared" si="1"/>
        <v>AssensMazoutCHAUFF</v>
      </c>
      <c r="B73" s="148">
        <v>5511</v>
      </c>
      <c r="C73" s="148" t="s">
        <v>389</v>
      </c>
      <c r="D73" s="148" t="s">
        <v>70</v>
      </c>
      <c r="E73" s="148">
        <v>6524180.42352938</v>
      </c>
      <c r="F73" t="s">
        <v>249</v>
      </c>
      <c r="G73"/>
    </row>
    <row r="74" spans="1:7" ht="15.75">
      <c r="A74" t="str">
        <f t="shared" si="1"/>
        <v>AssensNon renseignéCHAUFF</v>
      </c>
      <c r="B74" s="148">
        <v>5511</v>
      </c>
      <c r="C74" s="148" t="s">
        <v>389</v>
      </c>
      <c r="D74" s="148" t="s">
        <v>696</v>
      </c>
      <c r="E74" s="148">
        <v>0</v>
      </c>
      <c r="F74" t="s">
        <v>249</v>
      </c>
      <c r="G74"/>
    </row>
    <row r="75" spans="1:7" ht="15.75">
      <c r="A75" t="str">
        <f t="shared" si="1"/>
        <v>AssensPACCHAUFF</v>
      </c>
      <c r="B75" s="148">
        <v>5511</v>
      </c>
      <c r="C75" s="148" t="s">
        <v>389</v>
      </c>
      <c r="D75" s="148" t="s">
        <v>69</v>
      </c>
      <c r="E75" s="148">
        <v>302310.65958133998</v>
      </c>
      <c r="F75" t="s">
        <v>249</v>
      </c>
      <c r="G75"/>
    </row>
    <row r="76" spans="1:7" ht="15.75">
      <c r="A76" t="str">
        <f t="shared" si="1"/>
        <v>AssensSolaireCHAUFF</v>
      </c>
      <c r="B76" s="148">
        <v>5511</v>
      </c>
      <c r="C76" s="148" t="s">
        <v>389</v>
      </c>
      <c r="D76" s="148" t="s">
        <v>240</v>
      </c>
      <c r="E76" s="148">
        <v>14448</v>
      </c>
      <c r="F76" t="s">
        <v>249</v>
      </c>
      <c r="G76"/>
    </row>
    <row r="77" spans="1:7" ht="15.75">
      <c r="A77" t="str">
        <f t="shared" si="1"/>
        <v>AubonneAutre agent énergétiqueCHAUFF</v>
      </c>
      <c r="B77" s="148">
        <v>5422</v>
      </c>
      <c r="C77" s="148" t="s">
        <v>390</v>
      </c>
      <c r="D77" s="148" t="s">
        <v>245</v>
      </c>
      <c r="E77" s="148">
        <v>653364.70588234998</v>
      </c>
      <c r="F77" t="s">
        <v>249</v>
      </c>
      <c r="G77"/>
    </row>
    <row r="78" spans="1:7" ht="15.75">
      <c r="A78" t="str">
        <f t="shared" si="1"/>
        <v>AubonneBoisCHAUFF</v>
      </c>
      <c r="B78" s="148">
        <v>5422</v>
      </c>
      <c r="C78" s="148" t="s">
        <v>390</v>
      </c>
      <c r="D78" s="148" t="s">
        <v>66</v>
      </c>
      <c r="E78" s="148">
        <v>1852307.2086274396</v>
      </c>
      <c r="F78" t="s">
        <v>249</v>
      </c>
      <c r="G78"/>
    </row>
    <row r="79" spans="1:7" ht="15.75">
      <c r="A79" t="str">
        <f t="shared" si="1"/>
        <v>AubonneElectricitéCHAUFF</v>
      </c>
      <c r="B79" s="148">
        <v>5422</v>
      </c>
      <c r="C79" s="148" t="s">
        <v>390</v>
      </c>
      <c r="D79" s="148" t="s">
        <v>97</v>
      </c>
      <c r="E79" s="148">
        <v>3022383.9247311805</v>
      </c>
      <c r="F79" t="s">
        <v>249</v>
      </c>
      <c r="G79"/>
    </row>
    <row r="80" spans="1:7" ht="15.75">
      <c r="A80" t="str">
        <f t="shared" si="1"/>
        <v>AubonneGazCHAUFF</v>
      </c>
      <c r="B80" s="148">
        <v>5422</v>
      </c>
      <c r="C80" s="148" t="s">
        <v>390</v>
      </c>
      <c r="D80" s="148" t="s">
        <v>239</v>
      </c>
      <c r="E80" s="148">
        <v>23890404.30650162</v>
      </c>
      <c r="F80" t="s">
        <v>249</v>
      </c>
      <c r="G80"/>
    </row>
    <row r="81" spans="1:7" ht="15.75">
      <c r="A81" t="str">
        <f t="shared" si="1"/>
        <v>AubonneMazoutCHAUFF</v>
      </c>
      <c r="B81" s="148">
        <v>5422</v>
      </c>
      <c r="C81" s="148" t="s">
        <v>390</v>
      </c>
      <c r="D81" s="148" t="s">
        <v>70</v>
      </c>
      <c r="E81" s="148">
        <v>17043323.289164156</v>
      </c>
      <c r="F81" t="s">
        <v>249</v>
      </c>
      <c r="G81"/>
    </row>
    <row r="82" spans="1:7" ht="15.75">
      <c r="A82" t="str">
        <f t="shared" si="1"/>
        <v>AubonneNon renseignéCHAUFF</v>
      </c>
      <c r="B82" s="148">
        <v>5422</v>
      </c>
      <c r="C82" s="148" t="s">
        <v>390</v>
      </c>
      <c r="D82" s="148" t="s">
        <v>696</v>
      </c>
      <c r="E82" s="148">
        <v>0</v>
      </c>
      <c r="F82" t="s">
        <v>249</v>
      </c>
      <c r="G82"/>
    </row>
    <row r="83" spans="1:7" ht="15.75">
      <c r="A83" t="str">
        <f t="shared" si="1"/>
        <v>AubonnePACCHAUFF</v>
      </c>
      <c r="B83" s="148">
        <v>5422</v>
      </c>
      <c r="C83" s="148" t="s">
        <v>390</v>
      </c>
      <c r="D83" s="148" t="s">
        <v>69</v>
      </c>
      <c r="E83" s="148">
        <v>767909.79821095988</v>
      </c>
      <c r="F83" t="s">
        <v>249</v>
      </c>
      <c r="G83"/>
    </row>
    <row r="84" spans="1:7" ht="15.75">
      <c r="A84" t="str">
        <f t="shared" si="1"/>
        <v>AubonneSolaireCHAUFF</v>
      </c>
      <c r="B84" s="148">
        <v>5422</v>
      </c>
      <c r="C84" s="148" t="s">
        <v>390</v>
      </c>
      <c r="D84" s="148" t="s">
        <v>240</v>
      </c>
      <c r="E84" s="148">
        <v>44320</v>
      </c>
      <c r="F84" t="s">
        <v>249</v>
      </c>
      <c r="G84"/>
    </row>
    <row r="85" spans="1:7" ht="15.75">
      <c r="A85" t="str">
        <f t="shared" si="1"/>
        <v>AvenchesAutre agent énergétiqueCHAUFF</v>
      </c>
      <c r="B85" s="148">
        <v>5451</v>
      </c>
      <c r="C85" s="148" t="s">
        <v>391</v>
      </c>
      <c r="D85" s="148" t="s">
        <v>245</v>
      </c>
      <c r="E85" s="148">
        <v>323159.52941177</v>
      </c>
      <c r="F85" t="s">
        <v>249</v>
      </c>
      <c r="G85"/>
    </row>
    <row r="86" spans="1:7" ht="15.75">
      <c r="A86" t="str">
        <f t="shared" si="1"/>
        <v>AvenchesBoisCHAUFF</v>
      </c>
      <c r="B86" s="148">
        <v>5451</v>
      </c>
      <c r="C86" s="148" t="s">
        <v>391</v>
      </c>
      <c r="D86" s="148" t="s">
        <v>66</v>
      </c>
      <c r="E86" s="148">
        <v>4235128.4047059016</v>
      </c>
      <c r="F86" t="s">
        <v>249</v>
      </c>
      <c r="G86"/>
    </row>
    <row r="87" spans="1:7" ht="15.75">
      <c r="A87" t="str">
        <f t="shared" si="1"/>
        <v>AvenchesCADCHAUFF</v>
      </c>
      <c r="B87" s="148">
        <v>5451</v>
      </c>
      <c r="C87" s="148" t="s">
        <v>391</v>
      </c>
      <c r="D87" s="148" t="s">
        <v>242</v>
      </c>
      <c r="E87" s="148">
        <v>11447091.900000004</v>
      </c>
      <c r="F87" t="s">
        <v>249</v>
      </c>
      <c r="G87"/>
    </row>
    <row r="88" spans="1:7" ht="15.75">
      <c r="A88" t="str">
        <f t="shared" si="1"/>
        <v>AvenchesElectricitéCHAUFF</v>
      </c>
      <c r="B88" s="148">
        <v>5451</v>
      </c>
      <c r="C88" s="148" t="s">
        <v>391</v>
      </c>
      <c r="D88" s="148" t="s">
        <v>97</v>
      </c>
      <c r="E88" s="148">
        <v>3013431.3118280005</v>
      </c>
      <c r="F88" t="s">
        <v>249</v>
      </c>
      <c r="G88"/>
    </row>
    <row r="89" spans="1:7" ht="15.75">
      <c r="A89" t="str">
        <f t="shared" si="1"/>
        <v>AvenchesGazCHAUFF</v>
      </c>
      <c r="B89" s="148">
        <v>5451</v>
      </c>
      <c r="C89" s="148" t="s">
        <v>391</v>
      </c>
      <c r="D89" s="148" t="s">
        <v>239</v>
      </c>
      <c r="E89" s="148">
        <v>1986439.1356037201</v>
      </c>
      <c r="F89" t="s">
        <v>249</v>
      </c>
      <c r="G89"/>
    </row>
    <row r="90" spans="1:7" ht="15.75">
      <c r="A90" t="str">
        <f t="shared" si="1"/>
        <v>AvenchesMazoutCHAUFF</v>
      </c>
      <c r="B90" s="148">
        <v>5451</v>
      </c>
      <c r="C90" s="148" t="s">
        <v>391</v>
      </c>
      <c r="D90" s="148" t="s">
        <v>70</v>
      </c>
      <c r="E90" s="148">
        <v>29835950.341176528</v>
      </c>
      <c r="F90" t="s">
        <v>249</v>
      </c>
      <c r="G90"/>
    </row>
    <row r="91" spans="1:7" ht="15.75">
      <c r="A91" t="str">
        <f t="shared" si="1"/>
        <v>AvenchesNon renseignéCHAUFF</v>
      </c>
      <c r="B91" s="148">
        <v>5451</v>
      </c>
      <c r="C91" s="148" t="s">
        <v>391</v>
      </c>
      <c r="D91" s="148" t="s">
        <v>696</v>
      </c>
      <c r="E91" s="148">
        <v>0</v>
      </c>
      <c r="F91" t="s">
        <v>249</v>
      </c>
      <c r="G91"/>
    </row>
    <row r="92" spans="1:7" ht="15.75">
      <c r="A92" t="str">
        <f t="shared" si="1"/>
        <v>AvenchesPACCHAUFF</v>
      </c>
      <c r="B92" s="148">
        <v>5451</v>
      </c>
      <c r="C92" s="148" t="s">
        <v>391</v>
      </c>
      <c r="D92" s="148" t="s">
        <v>69</v>
      </c>
      <c r="E92" s="148">
        <v>1111794.7848475897</v>
      </c>
      <c r="F92" t="s">
        <v>249</v>
      </c>
      <c r="G92"/>
    </row>
    <row r="93" spans="1:7" ht="15.75">
      <c r="A93" t="str">
        <f t="shared" si="1"/>
        <v>AvenchesSolaireCHAUFF</v>
      </c>
      <c r="B93" s="148">
        <v>5451</v>
      </c>
      <c r="C93" s="148" t="s">
        <v>391</v>
      </c>
      <c r="D93" s="148" t="s">
        <v>240</v>
      </c>
      <c r="E93" s="148">
        <v>18009</v>
      </c>
      <c r="F93" t="s">
        <v>249</v>
      </c>
      <c r="G93"/>
    </row>
    <row r="94" spans="1:7" ht="15.75">
      <c r="A94" t="str">
        <f t="shared" si="1"/>
        <v>BallaiguesAutre agent énergétiqueCHAUFF</v>
      </c>
      <c r="B94" s="148">
        <v>5744</v>
      </c>
      <c r="C94" s="148" t="s">
        <v>392</v>
      </c>
      <c r="D94" s="148" t="s">
        <v>245</v>
      </c>
      <c r="E94" s="148">
        <v>51607.717647060002</v>
      </c>
      <c r="F94" t="s">
        <v>249</v>
      </c>
      <c r="G94"/>
    </row>
    <row r="95" spans="1:7" ht="15.75">
      <c r="A95" t="str">
        <f t="shared" si="1"/>
        <v>BallaiguesBoisCHAUFF</v>
      </c>
      <c r="B95" s="148">
        <v>5744</v>
      </c>
      <c r="C95" s="148" t="s">
        <v>392</v>
      </c>
      <c r="D95" s="148" t="s">
        <v>66</v>
      </c>
      <c r="E95" s="148">
        <v>1123067.5639215498</v>
      </c>
      <c r="F95" t="s">
        <v>249</v>
      </c>
      <c r="G95"/>
    </row>
    <row r="96" spans="1:7" ht="15.75">
      <c r="A96" t="str">
        <f t="shared" si="1"/>
        <v>BallaiguesCADCHAUFF</v>
      </c>
      <c r="B96" s="148">
        <v>5744</v>
      </c>
      <c r="C96" s="148" t="s">
        <v>392</v>
      </c>
      <c r="D96" s="148" t="s">
        <v>242</v>
      </c>
      <c r="E96" s="148">
        <v>100649.60000000001</v>
      </c>
      <c r="F96" t="s">
        <v>249</v>
      </c>
      <c r="G96"/>
    </row>
    <row r="97" spans="1:7" ht="15.75">
      <c r="A97" t="str">
        <f t="shared" si="1"/>
        <v>BallaiguesElectricitéCHAUFF</v>
      </c>
      <c r="B97" s="148">
        <v>5744</v>
      </c>
      <c r="C97" s="148" t="s">
        <v>392</v>
      </c>
      <c r="D97" s="148" t="s">
        <v>97</v>
      </c>
      <c r="E97" s="148">
        <v>420466.66666667</v>
      </c>
      <c r="F97" t="s">
        <v>249</v>
      </c>
      <c r="G97"/>
    </row>
    <row r="98" spans="1:7" ht="15.75">
      <c r="A98" t="str">
        <f t="shared" si="1"/>
        <v>BallaiguesGazCHAUFF</v>
      </c>
      <c r="B98" s="148">
        <v>5744</v>
      </c>
      <c r="C98" s="148" t="s">
        <v>392</v>
      </c>
      <c r="D98" s="148" t="s">
        <v>239</v>
      </c>
      <c r="E98" s="148">
        <v>7367098.3777089994</v>
      </c>
      <c r="F98" t="s">
        <v>249</v>
      </c>
      <c r="G98"/>
    </row>
    <row r="99" spans="1:7" ht="15.75">
      <c r="A99" t="str">
        <f t="shared" si="1"/>
        <v>BallaiguesMazoutCHAUFF</v>
      </c>
      <c r="B99" s="148">
        <v>5744</v>
      </c>
      <c r="C99" s="148" t="s">
        <v>392</v>
      </c>
      <c r="D99" s="148" t="s">
        <v>70</v>
      </c>
      <c r="E99" s="148">
        <v>5137348.00000004</v>
      </c>
      <c r="F99" t="s">
        <v>249</v>
      </c>
      <c r="G99"/>
    </row>
    <row r="100" spans="1:7" ht="15.75">
      <c r="A100" t="str">
        <f t="shared" si="1"/>
        <v>BallaiguesNon renseignéCHAUFF</v>
      </c>
      <c r="B100" s="148">
        <v>5744</v>
      </c>
      <c r="C100" s="148" t="s">
        <v>392</v>
      </c>
      <c r="D100" s="148" t="s">
        <v>696</v>
      </c>
      <c r="E100" s="148">
        <v>0</v>
      </c>
      <c r="F100" t="s">
        <v>249</v>
      </c>
      <c r="G100"/>
    </row>
    <row r="101" spans="1:7" ht="15.75">
      <c r="A101" t="str">
        <f t="shared" si="1"/>
        <v>BallaiguesPACCHAUFF</v>
      </c>
      <c r="B101" s="148">
        <v>5744</v>
      </c>
      <c r="C101" s="148" t="s">
        <v>392</v>
      </c>
      <c r="D101" s="148" t="s">
        <v>69</v>
      </c>
      <c r="E101" s="148">
        <v>60804.148148150009</v>
      </c>
      <c r="F101" t="s">
        <v>249</v>
      </c>
      <c r="G101"/>
    </row>
    <row r="102" spans="1:7" ht="15.75">
      <c r="A102" t="str">
        <f t="shared" si="1"/>
        <v>BallaiguesSolaireCHAUFF</v>
      </c>
      <c r="B102" s="148">
        <v>5744</v>
      </c>
      <c r="C102" s="148" t="s">
        <v>392</v>
      </c>
      <c r="D102" s="148" t="s">
        <v>240</v>
      </c>
      <c r="E102" s="148" t="e">
        <v>#N/A</v>
      </c>
      <c r="F102" t="s">
        <v>249</v>
      </c>
      <c r="G102"/>
    </row>
    <row r="103" spans="1:7" ht="15.75">
      <c r="A103" t="str">
        <f t="shared" si="1"/>
        <v>BallensBoisCHAUFF</v>
      </c>
      <c r="B103" s="148">
        <v>5423</v>
      </c>
      <c r="C103" s="148" t="s">
        <v>393</v>
      </c>
      <c r="D103" s="148" t="s">
        <v>66</v>
      </c>
      <c r="E103" s="148">
        <v>825299.97647058999</v>
      </c>
      <c r="F103" t="s">
        <v>249</v>
      </c>
      <c r="G103"/>
    </row>
    <row r="104" spans="1:7" ht="15.75">
      <c r="A104" t="str">
        <f t="shared" si="1"/>
        <v>BallensElectricitéCHAUFF</v>
      </c>
      <c r="B104" s="148">
        <v>5423</v>
      </c>
      <c r="C104" s="148" t="s">
        <v>393</v>
      </c>
      <c r="D104" s="148" t="s">
        <v>97</v>
      </c>
      <c r="E104" s="148">
        <v>199431.61290322</v>
      </c>
      <c r="F104" t="s">
        <v>249</v>
      </c>
      <c r="G104"/>
    </row>
    <row r="105" spans="1:7" ht="15.75">
      <c r="A105" t="str">
        <f t="shared" si="1"/>
        <v>BallensGazCHAUFF</v>
      </c>
      <c r="B105" s="148">
        <v>5423</v>
      </c>
      <c r="C105" s="148" t="s">
        <v>393</v>
      </c>
      <c r="D105" s="148" t="s">
        <v>239</v>
      </c>
      <c r="E105" s="148">
        <v>1420242.8743034003</v>
      </c>
      <c r="F105" t="s">
        <v>249</v>
      </c>
      <c r="G105"/>
    </row>
    <row r="106" spans="1:7" ht="15.75">
      <c r="A106" t="str">
        <f t="shared" si="1"/>
        <v>BallensMazoutCHAUFF</v>
      </c>
      <c r="B106" s="148">
        <v>5423</v>
      </c>
      <c r="C106" s="148" t="s">
        <v>393</v>
      </c>
      <c r="D106" s="148" t="s">
        <v>70</v>
      </c>
      <c r="E106" s="148">
        <v>4336664.8470588503</v>
      </c>
      <c r="F106" t="s">
        <v>249</v>
      </c>
      <c r="G106"/>
    </row>
    <row r="107" spans="1:7" ht="15.75">
      <c r="A107" t="str">
        <f t="shared" si="1"/>
        <v>BallensNon renseignéCHAUFF</v>
      </c>
      <c r="B107" s="148">
        <v>5423</v>
      </c>
      <c r="C107" s="148" t="s">
        <v>393</v>
      </c>
      <c r="D107" s="148" t="s">
        <v>696</v>
      </c>
      <c r="E107" s="148">
        <v>0</v>
      </c>
      <c r="F107" t="s">
        <v>249</v>
      </c>
      <c r="G107"/>
    </row>
    <row r="108" spans="1:7" ht="15.75">
      <c r="A108" t="str">
        <f t="shared" si="1"/>
        <v>BallensPACCHAUFF</v>
      </c>
      <c r="B108" s="148">
        <v>5423</v>
      </c>
      <c r="C108" s="148" t="s">
        <v>393</v>
      </c>
      <c r="D108" s="148" t="s">
        <v>69</v>
      </c>
      <c r="E108" s="148">
        <v>13443.89694042</v>
      </c>
      <c r="F108" t="s">
        <v>249</v>
      </c>
      <c r="G108"/>
    </row>
    <row r="109" spans="1:7" ht="15.75">
      <c r="A109" t="str">
        <f t="shared" si="1"/>
        <v>BallensSolaireCHAUFF</v>
      </c>
      <c r="B109" s="148">
        <v>5423</v>
      </c>
      <c r="C109" s="148" t="s">
        <v>393</v>
      </c>
      <c r="D109" s="148" t="s">
        <v>240</v>
      </c>
      <c r="E109" s="148" t="e">
        <v>#N/A</v>
      </c>
      <c r="F109" t="s">
        <v>249</v>
      </c>
      <c r="G109"/>
    </row>
    <row r="110" spans="1:7" ht="15.75">
      <c r="A110" t="str">
        <f t="shared" si="1"/>
        <v>BassinsBoisCHAUFF</v>
      </c>
      <c r="B110" s="148">
        <v>5703</v>
      </c>
      <c r="C110" s="148" t="s">
        <v>394</v>
      </c>
      <c r="D110" s="148" t="s">
        <v>66</v>
      </c>
      <c r="E110" s="148">
        <v>2136617.3678431306</v>
      </c>
      <c r="F110" t="s">
        <v>249</v>
      </c>
      <c r="G110"/>
    </row>
    <row r="111" spans="1:7" ht="15.75">
      <c r="A111" t="str">
        <f t="shared" si="1"/>
        <v>BassinsCADCHAUFF</v>
      </c>
      <c r="B111" s="148">
        <v>5703</v>
      </c>
      <c r="C111" s="148" t="s">
        <v>394</v>
      </c>
      <c r="D111" s="148" t="s">
        <v>242</v>
      </c>
      <c r="E111" s="148">
        <v>533050.19999999995</v>
      </c>
      <c r="F111" t="s">
        <v>249</v>
      </c>
      <c r="G111"/>
    </row>
    <row r="112" spans="1:7" ht="15.75">
      <c r="A112" t="str">
        <f t="shared" si="1"/>
        <v>BassinsElectricitéCHAUFF</v>
      </c>
      <c r="B112" s="148">
        <v>5703</v>
      </c>
      <c r="C112" s="148" t="s">
        <v>394</v>
      </c>
      <c r="D112" s="148" t="s">
        <v>97</v>
      </c>
      <c r="E112" s="148">
        <v>2147808.2258064798</v>
      </c>
      <c r="F112" t="s">
        <v>249</v>
      </c>
      <c r="G112"/>
    </row>
    <row r="113" spans="1:7" ht="15.75">
      <c r="A113" t="str">
        <f t="shared" si="1"/>
        <v>BassinsGazCHAUFF</v>
      </c>
      <c r="B113" s="148">
        <v>5703</v>
      </c>
      <c r="C113" s="148" t="s">
        <v>394</v>
      </c>
      <c r="D113" s="148" t="s">
        <v>239</v>
      </c>
      <c r="E113" s="148">
        <v>424990.35294120002</v>
      </c>
      <c r="F113" t="s">
        <v>249</v>
      </c>
      <c r="G113"/>
    </row>
    <row r="114" spans="1:7" ht="15.75">
      <c r="A114" t="str">
        <f t="shared" si="1"/>
        <v>BassinsMazoutCHAUFF</v>
      </c>
      <c r="B114" s="148">
        <v>5703</v>
      </c>
      <c r="C114" s="148" t="s">
        <v>394</v>
      </c>
      <c r="D114" s="148" t="s">
        <v>70</v>
      </c>
      <c r="E114" s="148">
        <v>7836002.9411764983</v>
      </c>
      <c r="F114" t="s">
        <v>249</v>
      </c>
      <c r="G114"/>
    </row>
    <row r="115" spans="1:7" ht="15.75">
      <c r="A115" t="str">
        <f t="shared" si="1"/>
        <v>BassinsNon renseignéCHAUFF</v>
      </c>
      <c r="B115" s="148">
        <v>5703</v>
      </c>
      <c r="C115" s="148" t="s">
        <v>394</v>
      </c>
      <c r="D115" s="148" t="s">
        <v>696</v>
      </c>
      <c r="E115" s="148">
        <v>0</v>
      </c>
      <c r="F115" t="s">
        <v>249</v>
      </c>
      <c r="G115"/>
    </row>
    <row r="116" spans="1:7" ht="15.75">
      <c r="A116" t="str">
        <f t="shared" si="1"/>
        <v>BassinsPACCHAUFF</v>
      </c>
      <c r="B116" s="148">
        <v>5703</v>
      </c>
      <c r="C116" s="148" t="s">
        <v>394</v>
      </c>
      <c r="D116" s="148" t="s">
        <v>69</v>
      </c>
      <c r="E116" s="148">
        <v>226740.63422778001</v>
      </c>
      <c r="F116" t="s">
        <v>249</v>
      </c>
      <c r="G116"/>
    </row>
    <row r="117" spans="1:7" ht="15.75">
      <c r="A117" t="str">
        <f t="shared" si="1"/>
        <v>BassinsSolaireCHAUFF</v>
      </c>
      <c r="B117" s="148">
        <v>5703</v>
      </c>
      <c r="C117" s="148" t="s">
        <v>394</v>
      </c>
      <c r="D117" s="148" t="s">
        <v>240</v>
      </c>
      <c r="E117" s="148" t="e">
        <v>#N/A</v>
      </c>
      <c r="F117" t="s">
        <v>249</v>
      </c>
      <c r="G117"/>
    </row>
    <row r="118" spans="1:7" ht="15.75">
      <c r="A118" t="str">
        <f t="shared" si="1"/>
        <v>BaulmesBoisCHAUFF</v>
      </c>
      <c r="B118" s="148">
        <v>5745</v>
      </c>
      <c r="C118" s="148" t="s">
        <v>395</v>
      </c>
      <c r="D118" s="148" t="s">
        <v>66</v>
      </c>
      <c r="E118" s="148">
        <v>1640752.6647058702</v>
      </c>
      <c r="F118" t="s">
        <v>249</v>
      </c>
      <c r="G118"/>
    </row>
    <row r="119" spans="1:7" ht="15.75">
      <c r="A119" t="str">
        <f t="shared" si="1"/>
        <v>BaulmesCADCHAUFF</v>
      </c>
      <c r="B119" s="148">
        <v>5745</v>
      </c>
      <c r="C119" s="148" t="s">
        <v>395</v>
      </c>
      <c r="D119" s="148" t="s">
        <v>242</v>
      </c>
      <c r="E119" s="148">
        <v>4124006.2400000007</v>
      </c>
      <c r="F119" t="s">
        <v>249</v>
      </c>
      <c r="G119"/>
    </row>
    <row r="120" spans="1:7" ht="15.75">
      <c r="A120" t="str">
        <f t="shared" si="1"/>
        <v>BaulmesElectricitéCHAUFF</v>
      </c>
      <c r="B120" s="148">
        <v>5745</v>
      </c>
      <c r="C120" s="148" t="s">
        <v>395</v>
      </c>
      <c r="D120" s="148" t="s">
        <v>97</v>
      </c>
      <c r="E120" s="148">
        <v>559842.79569892003</v>
      </c>
      <c r="F120" t="s">
        <v>249</v>
      </c>
      <c r="G120"/>
    </row>
    <row r="121" spans="1:7" ht="15.75">
      <c r="A121" t="str">
        <f t="shared" si="1"/>
        <v>BaulmesGazCHAUFF</v>
      </c>
      <c r="B121" s="148">
        <v>5745</v>
      </c>
      <c r="C121" s="148" t="s">
        <v>395</v>
      </c>
      <c r="D121" s="148" t="s">
        <v>239</v>
      </c>
      <c r="E121" s="148">
        <v>22720</v>
      </c>
      <c r="F121" t="s">
        <v>249</v>
      </c>
      <c r="G121"/>
    </row>
    <row r="122" spans="1:7" ht="15.75">
      <c r="A122" t="str">
        <f t="shared" si="1"/>
        <v>BaulmesMazoutCHAUFF</v>
      </c>
      <c r="B122" s="148">
        <v>5745</v>
      </c>
      <c r="C122" s="148" t="s">
        <v>395</v>
      </c>
      <c r="D122" s="148" t="s">
        <v>70</v>
      </c>
      <c r="E122" s="148">
        <v>6585935.8823529398</v>
      </c>
      <c r="F122" t="s">
        <v>249</v>
      </c>
      <c r="G122"/>
    </row>
    <row r="123" spans="1:7" ht="15.75">
      <c r="A123" t="str">
        <f t="shared" si="1"/>
        <v>BaulmesNon renseignéCHAUFF</v>
      </c>
      <c r="B123" s="148">
        <v>5745</v>
      </c>
      <c r="C123" s="148" t="s">
        <v>395</v>
      </c>
      <c r="D123" s="148" t="s">
        <v>696</v>
      </c>
      <c r="E123" s="148">
        <v>0</v>
      </c>
      <c r="F123" t="s">
        <v>249</v>
      </c>
      <c r="G123"/>
    </row>
    <row r="124" spans="1:7" ht="15.75">
      <c r="A124" t="str">
        <f t="shared" si="1"/>
        <v>BaulmesPACCHAUFF</v>
      </c>
      <c r="B124" s="148">
        <v>5745</v>
      </c>
      <c r="C124" s="148" t="s">
        <v>395</v>
      </c>
      <c r="D124" s="148" t="s">
        <v>69</v>
      </c>
      <c r="E124" s="148">
        <v>166905.94530153999</v>
      </c>
      <c r="F124" t="s">
        <v>249</v>
      </c>
      <c r="G124"/>
    </row>
    <row r="125" spans="1:7" ht="15.75">
      <c r="A125" t="str">
        <f t="shared" si="1"/>
        <v>BaulmesAutre agent énergétiqueCHAUFF</v>
      </c>
      <c r="B125" s="148">
        <v>5745</v>
      </c>
      <c r="C125" s="148" t="s">
        <v>395</v>
      </c>
      <c r="D125" s="148" t="s">
        <v>245</v>
      </c>
      <c r="E125" s="148" t="e">
        <v>#N/A</v>
      </c>
      <c r="F125" t="s">
        <v>249</v>
      </c>
      <c r="G125"/>
    </row>
    <row r="126" spans="1:7" ht="15.75">
      <c r="A126" t="str">
        <f t="shared" si="1"/>
        <v>BaulmesSolaireCHAUFF</v>
      </c>
      <c r="B126" s="148">
        <v>5745</v>
      </c>
      <c r="C126" s="148" t="s">
        <v>395</v>
      </c>
      <c r="D126" s="148" t="s">
        <v>240</v>
      </c>
      <c r="E126" s="148" t="e">
        <v>#N/A</v>
      </c>
      <c r="F126" t="s">
        <v>249</v>
      </c>
      <c r="G126"/>
    </row>
    <row r="127" spans="1:7" ht="15.75">
      <c r="A127" t="str">
        <f t="shared" si="1"/>
        <v>BavoisAutre agent énergétiqueCHAUFF</v>
      </c>
      <c r="B127" s="148">
        <v>5746</v>
      </c>
      <c r="C127" s="148" t="s">
        <v>396</v>
      </c>
      <c r="D127" s="148" t="s">
        <v>245</v>
      </c>
      <c r="E127" s="148">
        <v>22768.941176470002</v>
      </c>
      <c r="F127" t="s">
        <v>249</v>
      </c>
      <c r="G127"/>
    </row>
    <row r="128" spans="1:7" ht="15.75">
      <c r="A128" t="str">
        <f t="shared" si="1"/>
        <v>BavoisBoisCHAUFF</v>
      </c>
      <c r="B128" s="148">
        <v>5746</v>
      </c>
      <c r="C128" s="148" t="s">
        <v>396</v>
      </c>
      <c r="D128" s="148" t="s">
        <v>66</v>
      </c>
      <c r="E128" s="148">
        <v>1496616.59137255</v>
      </c>
      <c r="F128" t="s">
        <v>249</v>
      </c>
      <c r="G128"/>
    </row>
    <row r="129" spans="1:7" ht="15.75">
      <c r="A129" t="str">
        <f t="shared" si="1"/>
        <v>BavoisCADCHAUFF</v>
      </c>
      <c r="B129" s="148">
        <v>5746</v>
      </c>
      <c r="C129" s="148" t="s">
        <v>396</v>
      </c>
      <c r="D129" s="148" t="s">
        <v>242</v>
      </c>
      <c r="E129" s="148">
        <v>381383.8</v>
      </c>
      <c r="F129" t="s">
        <v>249</v>
      </c>
      <c r="G129"/>
    </row>
    <row r="130" spans="1:7" ht="15.75">
      <c r="A130" t="str">
        <f t="shared" si="1"/>
        <v>BavoisElectricitéCHAUFF</v>
      </c>
      <c r="B130" s="148">
        <v>5746</v>
      </c>
      <c r="C130" s="148" t="s">
        <v>396</v>
      </c>
      <c r="D130" s="148" t="s">
        <v>97</v>
      </c>
      <c r="E130" s="148">
        <v>1026124.1290322499</v>
      </c>
      <c r="F130" t="s">
        <v>249</v>
      </c>
      <c r="G130"/>
    </row>
    <row r="131" spans="1:7" ht="15.75">
      <c r="A131" t="str">
        <f t="shared" ref="A131:A194" si="2">_xlfn.CONCAT(C131,D131,F131)</f>
        <v>BavoisGazCHAUFF</v>
      </c>
      <c r="B131" s="148">
        <v>5746</v>
      </c>
      <c r="C131" s="148" t="s">
        <v>396</v>
      </c>
      <c r="D131" s="148" t="s">
        <v>239</v>
      </c>
      <c r="E131" s="148">
        <v>193073.74613002999</v>
      </c>
      <c r="F131" t="s">
        <v>249</v>
      </c>
      <c r="G131"/>
    </row>
    <row r="132" spans="1:7" ht="15.75">
      <c r="A132" t="str">
        <f t="shared" si="2"/>
        <v>BavoisMazoutCHAUFF</v>
      </c>
      <c r="B132" s="148">
        <v>5746</v>
      </c>
      <c r="C132" s="148" t="s">
        <v>396</v>
      </c>
      <c r="D132" s="148" t="s">
        <v>70</v>
      </c>
      <c r="E132" s="148">
        <v>6878834.2675381079</v>
      </c>
      <c r="F132" t="s">
        <v>249</v>
      </c>
      <c r="G132"/>
    </row>
    <row r="133" spans="1:7" ht="15.75">
      <c r="A133" t="str">
        <f t="shared" si="2"/>
        <v>BavoisNon renseignéCHAUFF</v>
      </c>
      <c r="B133" s="148">
        <v>5746</v>
      </c>
      <c r="C133" s="148" t="s">
        <v>396</v>
      </c>
      <c r="D133" s="148" t="s">
        <v>696</v>
      </c>
      <c r="E133" s="148">
        <v>0</v>
      </c>
      <c r="F133" t="s">
        <v>249</v>
      </c>
      <c r="G133"/>
    </row>
    <row r="134" spans="1:7" ht="15.75">
      <c r="A134" t="str">
        <f t="shared" si="2"/>
        <v>BavoisPACCHAUFF</v>
      </c>
      <c r="B134" s="148">
        <v>5746</v>
      </c>
      <c r="C134" s="148" t="s">
        <v>396</v>
      </c>
      <c r="D134" s="148" t="s">
        <v>69</v>
      </c>
      <c r="E134" s="148">
        <v>356199.21585370007</v>
      </c>
      <c r="F134" t="s">
        <v>249</v>
      </c>
      <c r="G134"/>
    </row>
    <row r="135" spans="1:7" ht="15.75">
      <c r="A135" t="str">
        <f t="shared" si="2"/>
        <v>BavoisSolaireCHAUFF</v>
      </c>
      <c r="B135" s="148">
        <v>5746</v>
      </c>
      <c r="C135" s="148" t="s">
        <v>396</v>
      </c>
      <c r="D135" s="148" t="s">
        <v>240</v>
      </c>
      <c r="E135" s="148">
        <v>36823</v>
      </c>
      <c r="F135" t="s">
        <v>249</v>
      </c>
      <c r="G135"/>
    </row>
    <row r="136" spans="1:7" ht="15.75">
      <c r="A136" t="str">
        <f t="shared" si="2"/>
        <v>BegninsBoisCHAUFF</v>
      </c>
      <c r="B136" s="148">
        <v>5704</v>
      </c>
      <c r="C136" s="148" t="s">
        <v>397</v>
      </c>
      <c r="D136" s="148" t="s">
        <v>66</v>
      </c>
      <c r="E136" s="148">
        <v>899747.11215685995</v>
      </c>
      <c r="F136" t="s">
        <v>249</v>
      </c>
      <c r="G136"/>
    </row>
    <row r="137" spans="1:7" ht="15.75">
      <c r="A137" t="str">
        <f t="shared" si="2"/>
        <v>BegninsCADCHAUFF</v>
      </c>
      <c r="B137" s="148">
        <v>5704</v>
      </c>
      <c r="C137" s="148" t="s">
        <v>397</v>
      </c>
      <c r="D137" s="148" t="s">
        <v>242</v>
      </c>
      <c r="E137" s="148">
        <v>3857308.4000000004</v>
      </c>
      <c r="F137" t="s">
        <v>249</v>
      </c>
      <c r="G137"/>
    </row>
    <row r="138" spans="1:7" ht="15.75">
      <c r="A138" t="str">
        <f t="shared" si="2"/>
        <v>BegninsElectricitéCHAUFF</v>
      </c>
      <c r="B138" s="148">
        <v>5704</v>
      </c>
      <c r="C138" s="148" t="s">
        <v>397</v>
      </c>
      <c r="D138" s="148" t="s">
        <v>97</v>
      </c>
      <c r="E138" s="148">
        <v>1432141.7204301101</v>
      </c>
      <c r="F138" t="s">
        <v>249</v>
      </c>
      <c r="G138"/>
    </row>
    <row r="139" spans="1:7" ht="15.75">
      <c r="A139" t="str">
        <f t="shared" si="2"/>
        <v>BegninsGazCHAUFF</v>
      </c>
      <c r="B139" s="148">
        <v>5704</v>
      </c>
      <c r="C139" s="148" t="s">
        <v>397</v>
      </c>
      <c r="D139" s="148" t="s">
        <v>239</v>
      </c>
      <c r="E139" s="148">
        <v>483350.97832816996</v>
      </c>
      <c r="F139" t="s">
        <v>249</v>
      </c>
      <c r="G139"/>
    </row>
    <row r="140" spans="1:7" ht="15.75">
      <c r="A140" t="str">
        <f t="shared" si="2"/>
        <v>BegninsMazoutCHAUFF</v>
      </c>
      <c r="B140" s="148">
        <v>5704</v>
      </c>
      <c r="C140" s="148" t="s">
        <v>397</v>
      </c>
      <c r="D140" s="148" t="s">
        <v>70</v>
      </c>
      <c r="E140" s="148">
        <v>12674455.034777017</v>
      </c>
      <c r="F140" t="s">
        <v>249</v>
      </c>
      <c r="G140"/>
    </row>
    <row r="141" spans="1:7" ht="15.75">
      <c r="A141" t="str">
        <f t="shared" si="2"/>
        <v>BegninsNon renseignéCHAUFF</v>
      </c>
      <c r="B141" s="148">
        <v>5704</v>
      </c>
      <c r="C141" s="148" t="s">
        <v>397</v>
      </c>
      <c r="D141" s="148" t="s">
        <v>696</v>
      </c>
      <c r="E141" s="148">
        <v>0</v>
      </c>
      <c r="F141" t="s">
        <v>249</v>
      </c>
      <c r="G141"/>
    </row>
    <row r="142" spans="1:7" ht="15.75">
      <c r="A142" t="str">
        <f t="shared" si="2"/>
        <v>BegninsPACCHAUFF</v>
      </c>
      <c r="B142" s="148">
        <v>5704</v>
      </c>
      <c r="C142" s="148" t="s">
        <v>397</v>
      </c>
      <c r="D142" s="148" t="s">
        <v>69</v>
      </c>
      <c r="E142" s="148">
        <v>635258.2269492601</v>
      </c>
      <c r="F142" t="s">
        <v>249</v>
      </c>
      <c r="G142"/>
    </row>
    <row r="143" spans="1:7" ht="15.75">
      <c r="A143" t="str">
        <f t="shared" si="2"/>
        <v>BegninsSolaireCHAUFF</v>
      </c>
      <c r="B143" s="148">
        <v>5704</v>
      </c>
      <c r="C143" s="148" t="s">
        <v>397</v>
      </c>
      <c r="D143" s="148" t="s">
        <v>240</v>
      </c>
      <c r="E143" s="148" t="e">
        <v>#N/A</v>
      </c>
      <c r="F143" t="s">
        <v>249</v>
      </c>
      <c r="G143"/>
    </row>
    <row r="144" spans="1:7" ht="15.75">
      <c r="A144" t="str">
        <f t="shared" si="2"/>
        <v>Belmont-sur-LausanneAutre agent énergétiqueCHAUFF</v>
      </c>
      <c r="B144" s="148">
        <v>5581</v>
      </c>
      <c r="C144" s="148" t="s">
        <v>669</v>
      </c>
      <c r="D144" s="148" t="s">
        <v>245</v>
      </c>
      <c r="E144" s="148">
        <v>20028.235294120001</v>
      </c>
      <c r="F144" t="s">
        <v>249</v>
      </c>
      <c r="G144"/>
    </row>
    <row r="145" spans="1:7" ht="15.75">
      <c r="A145" t="str">
        <f t="shared" si="2"/>
        <v>Belmont-sur-LausanneBoisCHAUFF</v>
      </c>
      <c r="B145" s="148">
        <v>5581</v>
      </c>
      <c r="C145" s="148" t="s">
        <v>669</v>
      </c>
      <c r="D145" s="148" t="s">
        <v>66</v>
      </c>
      <c r="E145" s="148">
        <v>2205999.0415686299</v>
      </c>
      <c r="F145" t="s">
        <v>249</v>
      </c>
      <c r="G145"/>
    </row>
    <row r="146" spans="1:7" ht="15.75">
      <c r="A146" t="str">
        <f t="shared" si="2"/>
        <v>Belmont-sur-LausanneCADCHAUFF</v>
      </c>
      <c r="B146" s="148">
        <v>5581</v>
      </c>
      <c r="C146" s="148" t="s">
        <v>669</v>
      </c>
      <c r="D146" s="148" t="s">
        <v>242</v>
      </c>
      <c r="E146" s="148">
        <v>114048</v>
      </c>
      <c r="F146" t="s">
        <v>249</v>
      </c>
      <c r="G146"/>
    </row>
    <row r="147" spans="1:7" ht="15.75">
      <c r="A147" t="str">
        <f t="shared" si="2"/>
        <v>Belmont-sur-LausanneElectricitéCHAUFF</v>
      </c>
      <c r="B147" s="148">
        <v>5581</v>
      </c>
      <c r="C147" s="148" t="s">
        <v>669</v>
      </c>
      <c r="D147" s="148" t="s">
        <v>97</v>
      </c>
      <c r="E147" s="148">
        <v>2129327.0967741902</v>
      </c>
      <c r="F147" t="s">
        <v>249</v>
      </c>
      <c r="G147"/>
    </row>
    <row r="148" spans="1:7" ht="15.75">
      <c r="A148" t="str">
        <f t="shared" si="2"/>
        <v>Belmont-sur-LausanneGazCHAUFF</v>
      </c>
      <c r="B148" s="148">
        <v>5581</v>
      </c>
      <c r="C148" s="148" t="s">
        <v>669</v>
      </c>
      <c r="D148" s="148" t="s">
        <v>239</v>
      </c>
      <c r="E148" s="148">
        <v>1714855.2569659599</v>
      </c>
      <c r="F148" t="s">
        <v>249</v>
      </c>
      <c r="G148"/>
    </row>
    <row r="149" spans="1:7" ht="15.75">
      <c r="A149" t="str">
        <f t="shared" si="2"/>
        <v>Belmont-sur-LausanneMazoutCHAUFF</v>
      </c>
      <c r="B149" s="148">
        <v>5581</v>
      </c>
      <c r="C149" s="148" t="s">
        <v>669</v>
      </c>
      <c r="D149" s="148" t="s">
        <v>70</v>
      </c>
      <c r="E149" s="148">
        <v>27174075.214738399</v>
      </c>
      <c r="F149" t="s">
        <v>249</v>
      </c>
      <c r="G149"/>
    </row>
    <row r="150" spans="1:7" ht="15.75">
      <c r="A150" t="str">
        <f t="shared" si="2"/>
        <v>Belmont-sur-LausanneNon renseignéCHAUFF</v>
      </c>
      <c r="B150" s="148">
        <v>5581</v>
      </c>
      <c r="C150" s="148" t="s">
        <v>669</v>
      </c>
      <c r="D150" s="148" t="s">
        <v>696</v>
      </c>
      <c r="E150" s="148">
        <v>0</v>
      </c>
      <c r="F150" t="s">
        <v>249</v>
      </c>
      <c r="G150"/>
    </row>
    <row r="151" spans="1:7" ht="15.75">
      <c r="A151" t="str">
        <f t="shared" si="2"/>
        <v>Belmont-sur-LausannePACCHAUFF</v>
      </c>
      <c r="B151" s="148">
        <v>5581</v>
      </c>
      <c r="C151" s="148" t="s">
        <v>669</v>
      </c>
      <c r="D151" s="148" t="s">
        <v>69</v>
      </c>
      <c r="E151" s="148">
        <v>835269.34657939011</v>
      </c>
      <c r="F151" t="s">
        <v>249</v>
      </c>
      <c r="G151"/>
    </row>
    <row r="152" spans="1:7" ht="15.75">
      <c r="A152" t="str">
        <f t="shared" si="2"/>
        <v>Belmont-sur-LausanneSolaireCHAUFF</v>
      </c>
      <c r="B152" s="148">
        <v>5581</v>
      </c>
      <c r="C152" s="148" t="s">
        <v>669</v>
      </c>
      <c r="D152" s="148" t="s">
        <v>240</v>
      </c>
      <c r="E152" s="148" t="e">
        <v>#N/A</v>
      </c>
      <c r="F152" t="s">
        <v>249</v>
      </c>
      <c r="G152"/>
    </row>
    <row r="153" spans="1:7" ht="15.75">
      <c r="A153" t="str">
        <f t="shared" si="2"/>
        <v>Belmont-sur-YverdonBoisCHAUFF</v>
      </c>
      <c r="B153" s="148">
        <v>5902</v>
      </c>
      <c r="C153" s="148" t="s">
        <v>668</v>
      </c>
      <c r="D153" s="148" t="s">
        <v>66</v>
      </c>
      <c r="E153" s="148">
        <v>1398262.1019607801</v>
      </c>
      <c r="F153" t="s">
        <v>249</v>
      </c>
      <c r="G153"/>
    </row>
    <row r="154" spans="1:7" ht="15.75">
      <c r="A154" t="str">
        <f t="shared" si="2"/>
        <v>Belmont-sur-YverdonElectricitéCHAUFF</v>
      </c>
      <c r="B154" s="148">
        <v>5902</v>
      </c>
      <c r="C154" s="148" t="s">
        <v>668</v>
      </c>
      <c r="D154" s="148" t="s">
        <v>97</v>
      </c>
      <c r="E154" s="148">
        <v>537566.02150537004</v>
      </c>
      <c r="F154" t="s">
        <v>249</v>
      </c>
      <c r="G154"/>
    </row>
    <row r="155" spans="1:7" ht="15.75">
      <c r="A155" t="str">
        <f t="shared" si="2"/>
        <v>Belmont-sur-YverdonGazCHAUFF</v>
      </c>
      <c r="B155" s="148">
        <v>5902</v>
      </c>
      <c r="C155" s="148" t="s">
        <v>668</v>
      </c>
      <c r="D155" s="148" t="s">
        <v>239</v>
      </c>
      <c r="E155" s="148">
        <v>35921.052631580002</v>
      </c>
      <c r="F155" t="s">
        <v>249</v>
      </c>
      <c r="G155"/>
    </row>
    <row r="156" spans="1:7" ht="15.75">
      <c r="A156" t="str">
        <f t="shared" si="2"/>
        <v>Belmont-sur-YverdonMazoutCHAUFF</v>
      </c>
      <c r="B156" s="148">
        <v>5902</v>
      </c>
      <c r="C156" s="148" t="s">
        <v>668</v>
      </c>
      <c r="D156" s="148" t="s">
        <v>70</v>
      </c>
      <c r="E156" s="148">
        <v>3666335.8500323109</v>
      </c>
      <c r="F156" t="s">
        <v>249</v>
      </c>
      <c r="G156"/>
    </row>
    <row r="157" spans="1:7" ht="15.75">
      <c r="A157" t="str">
        <f t="shared" si="2"/>
        <v>Belmont-sur-YverdonNon renseignéCHAUFF</v>
      </c>
      <c r="B157" s="148">
        <v>5902</v>
      </c>
      <c r="C157" s="148" t="s">
        <v>668</v>
      </c>
      <c r="D157" s="148" t="s">
        <v>696</v>
      </c>
      <c r="E157" s="148">
        <v>0</v>
      </c>
      <c r="F157" t="s">
        <v>249</v>
      </c>
      <c r="G157"/>
    </row>
    <row r="158" spans="1:7" ht="15.75">
      <c r="A158" t="str">
        <f t="shared" si="2"/>
        <v>Belmont-sur-YverdonPACCHAUFF</v>
      </c>
      <c r="B158" s="148">
        <v>5902</v>
      </c>
      <c r="C158" s="148" t="s">
        <v>668</v>
      </c>
      <c r="D158" s="148" t="s">
        <v>69</v>
      </c>
      <c r="E158" s="148">
        <v>124104.60225444</v>
      </c>
      <c r="F158" t="s">
        <v>249</v>
      </c>
      <c r="G158"/>
    </row>
    <row r="159" spans="1:7" ht="15.75">
      <c r="A159" t="str">
        <f t="shared" si="2"/>
        <v>Belmont-sur-YverdonSolaireCHAUFF</v>
      </c>
      <c r="B159" s="148">
        <v>5902</v>
      </c>
      <c r="C159" s="148" t="s">
        <v>668</v>
      </c>
      <c r="D159" s="148" t="s">
        <v>240</v>
      </c>
      <c r="E159" s="148" t="e">
        <v>#N/A</v>
      </c>
      <c r="F159" t="s">
        <v>249</v>
      </c>
      <c r="G159"/>
    </row>
    <row r="160" spans="1:7" ht="15.75">
      <c r="A160" t="str">
        <f t="shared" si="2"/>
        <v>BercherBoisCHAUFF</v>
      </c>
      <c r="B160" s="148">
        <v>5512</v>
      </c>
      <c r="C160" s="148" t="s">
        <v>398</v>
      </c>
      <c r="D160" s="148" t="s">
        <v>66</v>
      </c>
      <c r="E160" s="148">
        <v>1672293.4588235298</v>
      </c>
      <c r="F160" t="s">
        <v>249</v>
      </c>
      <c r="G160"/>
    </row>
    <row r="161" spans="1:7" ht="15.75">
      <c r="A161" t="str">
        <f t="shared" si="2"/>
        <v>BercherCADCHAUFF</v>
      </c>
      <c r="B161" s="148">
        <v>5512</v>
      </c>
      <c r="C161" s="148" t="s">
        <v>398</v>
      </c>
      <c r="D161" s="148" t="s">
        <v>242</v>
      </c>
      <c r="E161" s="148">
        <v>273480</v>
      </c>
      <c r="F161" t="s">
        <v>249</v>
      </c>
      <c r="G161"/>
    </row>
    <row r="162" spans="1:7" ht="15.75">
      <c r="A162" t="str">
        <f t="shared" si="2"/>
        <v>BercherElectricitéCHAUFF</v>
      </c>
      <c r="B162" s="148">
        <v>5512</v>
      </c>
      <c r="C162" s="148" t="s">
        <v>398</v>
      </c>
      <c r="D162" s="148" t="s">
        <v>97</v>
      </c>
      <c r="E162" s="148">
        <v>1552576.1290322598</v>
      </c>
      <c r="F162" t="s">
        <v>249</v>
      </c>
      <c r="G162"/>
    </row>
    <row r="163" spans="1:7" ht="15.75">
      <c r="A163" t="str">
        <f t="shared" si="2"/>
        <v>BercherGazCHAUFF</v>
      </c>
      <c r="B163" s="148">
        <v>5512</v>
      </c>
      <c r="C163" s="148" t="s">
        <v>398</v>
      </c>
      <c r="D163" s="148" t="s">
        <v>239</v>
      </c>
      <c r="E163" s="148">
        <v>5263131.2848297274</v>
      </c>
      <c r="F163" t="s">
        <v>249</v>
      </c>
      <c r="G163"/>
    </row>
    <row r="164" spans="1:7" ht="15.75">
      <c r="A164" t="str">
        <f t="shared" si="2"/>
        <v>BercherMazoutCHAUFF</v>
      </c>
      <c r="B164" s="148">
        <v>5512</v>
      </c>
      <c r="C164" s="148" t="s">
        <v>398</v>
      </c>
      <c r="D164" s="148" t="s">
        <v>70</v>
      </c>
      <c r="E164" s="148">
        <v>4715467.5294117993</v>
      </c>
      <c r="F164" t="s">
        <v>249</v>
      </c>
      <c r="G164"/>
    </row>
    <row r="165" spans="1:7" ht="15.75">
      <c r="A165" t="str">
        <f t="shared" si="2"/>
        <v>BercherNon renseignéCHAUFF</v>
      </c>
      <c r="B165" s="148">
        <v>5512</v>
      </c>
      <c r="C165" s="148" t="s">
        <v>398</v>
      </c>
      <c r="D165" s="148" t="s">
        <v>696</v>
      </c>
      <c r="E165" s="148">
        <v>0</v>
      </c>
      <c r="F165" t="s">
        <v>249</v>
      </c>
      <c r="G165"/>
    </row>
    <row r="166" spans="1:7" ht="15.75">
      <c r="A166" t="str">
        <f t="shared" si="2"/>
        <v>BercherPACCHAUFF</v>
      </c>
      <c r="B166" s="148">
        <v>5512</v>
      </c>
      <c r="C166" s="148" t="s">
        <v>398</v>
      </c>
      <c r="D166" s="148" t="s">
        <v>69</v>
      </c>
      <c r="E166" s="148">
        <v>353662.58517997002</v>
      </c>
      <c r="F166" t="s">
        <v>249</v>
      </c>
      <c r="G166"/>
    </row>
    <row r="167" spans="1:7" ht="15.75">
      <c r="A167" t="str">
        <f t="shared" si="2"/>
        <v>BercherSolaireCHAUFF</v>
      </c>
      <c r="B167" s="148">
        <v>5512</v>
      </c>
      <c r="C167" s="148" t="s">
        <v>398</v>
      </c>
      <c r="D167" s="148" t="s">
        <v>240</v>
      </c>
      <c r="E167" s="148" t="e">
        <v>#N/A</v>
      </c>
      <c r="F167" t="s">
        <v>249</v>
      </c>
      <c r="G167"/>
    </row>
    <row r="168" spans="1:7" ht="15.75">
      <c r="A168" t="str">
        <f t="shared" si="2"/>
        <v>BerolleBoisCHAUFF</v>
      </c>
      <c r="B168" s="148">
        <v>5424</v>
      </c>
      <c r="C168" s="148" t="s">
        <v>399</v>
      </c>
      <c r="D168" s="148" t="s">
        <v>66</v>
      </c>
      <c r="E168" s="148">
        <v>1033394.04549019</v>
      </c>
      <c r="F168" t="s">
        <v>249</v>
      </c>
      <c r="G168"/>
    </row>
    <row r="169" spans="1:7" ht="15.75">
      <c r="A169" t="str">
        <f t="shared" si="2"/>
        <v>BerolleElectricitéCHAUFF</v>
      </c>
      <c r="B169" s="148">
        <v>5424</v>
      </c>
      <c r="C169" s="148" t="s">
        <v>399</v>
      </c>
      <c r="D169" s="148" t="s">
        <v>97</v>
      </c>
      <c r="E169" s="148">
        <v>451279.26881721994</v>
      </c>
      <c r="F169" t="s">
        <v>249</v>
      </c>
      <c r="G169"/>
    </row>
    <row r="170" spans="1:7" ht="15.75">
      <c r="A170" t="str">
        <f t="shared" si="2"/>
        <v>BerolleGazCHAUFF</v>
      </c>
      <c r="B170" s="148">
        <v>5424</v>
      </c>
      <c r="C170" s="148" t="s">
        <v>399</v>
      </c>
      <c r="D170" s="148" t="s">
        <v>239</v>
      </c>
      <c r="E170" s="148">
        <v>1087913.0650154799</v>
      </c>
      <c r="F170" t="s">
        <v>249</v>
      </c>
      <c r="G170"/>
    </row>
    <row r="171" spans="1:7" ht="15.75">
      <c r="A171" t="str">
        <f t="shared" si="2"/>
        <v>BerolleMazoutCHAUFF</v>
      </c>
      <c r="B171" s="148">
        <v>5424</v>
      </c>
      <c r="C171" s="148" t="s">
        <v>399</v>
      </c>
      <c r="D171" s="148" t="s">
        <v>70</v>
      </c>
      <c r="E171" s="148">
        <v>1570413.9294117601</v>
      </c>
      <c r="F171" t="s">
        <v>249</v>
      </c>
      <c r="G171"/>
    </row>
    <row r="172" spans="1:7" ht="15.75">
      <c r="A172" t="str">
        <f t="shared" si="2"/>
        <v>BerolleNon renseignéCHAUFF</v>
      </c>
      <c r="B172" s="148">
        <v>5424</v>
      </c>
      <c r="C172" s="148" t="s">
        <v>399</v>
      </c>
      <c r="D172" s="148" t="s">
        <v>696</v>
      </c>
      <c r="E172" s="148">
        <v>0</v>
      </c>
      <c r="F172" t="s">
        <v>249</v>
      </c>
      <c r="G172"/>
    </row>
    <row r="173" spans="1:7" ht="15.75">
      <c r="A173" t="str">
        <f t="shared" si="2"/>
        <v>BerollePACCHAUFF</v>
      </c>
      <c r="B173" s="148">
        <v>5424</v>
      </c>
      <c r="C173" s="148" t="s">
        <v>399</v>
      </c>
      <c r="D173" s="148" t="s">
        <v>69</v>
      </c>
      <c r="E173" s="148">
        <v>40690.718196469999</v>
      </c>
      <c r="F173" t="s">
        <v>249</v>
      </c>
      <c r="G173"/>
    </row>
    <row r="174" spans="1:7" ht="15.75">
      <c r="A174" t="str">
        <f t="shared" si="2"/>
        <v>BerolleSolaireCHAUFF</v>
      </c>
      <c r="B174" s="148">
        <v>5424</v>
      </c>
      <c r="C174" s="148" t="s">
        <v>399</v>
      </c>
      <c r="D174" s="148" t="s">
        <v>240</v>
      </c>
      <c r="E174" s="148" t="e">
        <v>#N/A</v>
      </c>
      <c r="F174" t="s">
        <v>249</v>
      </c>
      <c r="G174"/>
    </row>
    <row r="175" spans="1:7" ht="15.75">
      <c r="A175" t="str">
        <f t="shared" si="2"/>
        <v>BettensBoisCHAUFF</v>
      </c>
      <c r="B175" s="148">
        <v>5471</v>
      </c>
      <c r="C175" s="148" t="s">
        <v>400</v>
      </c>
      <c r="D175" s="148" t="s">
        <v>66</v>
      </c>
      <c r="E175" s="148">
        <v>113383.12156862</v>
      </c>
      <c r="F175" t="s">
        <v>249</v>
      </c>
      <c r="G175"/>
    </row>
    <row r="176" spans="1:7" ht="15.75">
      <c r="A176" t="str">
        <f t="shared" si="2"/>
        <v>BettensCADCHAUFF</v>
      </c>
      <c r="B176" s="148">
        <v>5471</v>
      </c>
      <c r="C176" s="148" t="s">
        <v>400</v>
      </c>
      <c r="D176" s="148" t="s">
        <v>242</v>
      </c>
      <c r="E176" s="148">
        <v>18604.8</v>
      </c>
      <c r="F176" t="s">
        <v>249</v>
      </c>
      <c r="G176"/>
    </row>
    <row r="177" spans="1:7" ht="15.75">
      <c r="A177" t="str">
        <f t="shared" si="2"/>
        <v>BettensElectricitéCHAUFF</v>
      </c>
      <c r="B177" s="148">
        <v>5471</v>
      </c>
      <c r="C177" s="148" t="s">
        <v>400</v>
      </c>
      <c r="D177" s="148" t="s">
        <v>97</v>
      </c>
      <c r="E177" s="148">
        <v>304335.48387096002</v>
      </c>
      <c r="F177" t="s">
        <v>249</v>
      </c>
      <c r="G177"/>
    </row>
    <row r="178" spans="1:7" ht="15.75">
      <c r="A178" t="str">
        <f t="shared" si="2"/>
        <v>BettensGazCHAUFF</v>
      </c>
      <c r="B178" s="148">
        <v>5471</v>
      </c>
      <c r="C178" s="148" t="s">
        <v>400</v>
      </c>
      <c r="D178" s="148" t="s">
        <v>239</v>
      </c>
      <c r="E178" s="148">
        <v>2344133.7275541807</v>
      </c>
      <c r="F178" t="s">
        <v>249</v>
      </c>
      <c r="G178"/>
    </row>
    <row r="179" spans="1:7" ht="15.75">
      <c r="A179" t="str">
        <f t="shared" si="2"/>
        <v>BettensMazoutCHAUFF</v>
      </c>
      <c r="B179" s="148">
        <v>5471</v>
      </c>
      <c r="C179" s="148" t="s">
        <v>400</v>
      </c>
      <c r="D179" s="148" t="s">
        <v>70</v>
      </c>
      <c r="E179" s="148">
        <v>2222975.0253393799</v>
      </c>
      <c r="F179" t="s">
        <v>249</v>
      </c>
      <c r="G179"/>
    </row>
    <row r="180" spans="1:7" ht="15.75">
      <c r="A180" t="str">
        <f t="shared" si="2"/>
        <v>BettensNon renseignéCHAUFF</v>
      </c>
      <c r="B180" s="148">
        <v>5471</v>
      </c>
      <c r="C180" s="148" t="s">
        <v>400</v>
      </c>
      <c r="D180" s="148" t="s">
        <v>696</v>
      </c>
      <c r="E180" s="148">
        <v>0</v>
      </c>
      <c r="F180" t="s">
        <v>249</v>
      </c>
      <c r="G180"/>
    </row>
    <row r="181" spans="1:7" ht="15.75">
      <c r="A181" t="str">
        <f t="shared" si="2"/>
        <v>BettensPACCHAUFF</v>
      </c>
      <c r="B181" s="148">
        <v>5471</v>
      </c>
      <c r="C181" s="148" t="s">
        <v>400</v>
      </c>
      <c r="D181" s="148" t="s">
        <v>69</v>
      </c>
      <c r="E181" s="148">
        <v>148495.97925302997</v>
      </c>
      <c r="F181" t="s">
        <v>249</v>
      </c>
      <c r="G181"/>
    </row>
    <row r="182" spans="1:7" ht="15.75">
      <c r="A182" t="str">
        <f t="shared" si="2"/>
        <v>BettensSolaireCHAUFF</v>
      </c>
      <c r="B182" s="148">
        <v>5471</v>
      </c>
      <c r="C182" s="148" t="s">
        <v>400</v>
      </c>
      <c r="D182" s="148" t="s">
        <v>240</v>
      </c>
      <c r="E182" s="148" t="e">
        <v>#N/A</v>
      </c>
      <c r="F182" t="s">
        <v>249</v>
      </c>
      <c r="G182"/>
    </row>
    <row r="183" spans="1:7" ht="15.75">
      <c r="A183" t="str">
        <f t="shared" si="2"/>
        <v>BexAutre agent énergétiqueCHAUFF</v>
      </c>
      <c r="B183" s="148">
        <v>5402</v>
      </c>
      <c r="C183" s="148" t="s">
        <v>401</v>
      </c>
      <c r="D183" s="148" t="s">
        <v>245</v>
      </c>
      <c r="E183" s="148">
        <v>100023.52941177</v>
      </c>
      <c r="F183" t="s">
        <v>249</v>
      </c>
      <c r="G183"/>
    </row>
    <row r="184" spans="1:7" ht="15.75">
      <c r="A184" t="str">
        <f t="shared" si="2"/>
        <v>BexBoisCHAUFF</v>
      </c>
      <c r="B184" s="148">
        <v>5402</v>
      </c>
      <c r="C184" s="148" t="s">
        <v>401</v>
      </c>
      <c r="D184" s="148" t="s">
        <v>66</v>
      </c>
      <c r="E184" s="148">
        <v>9377668.4282353204</v>
      </c>
      <c r="F184" t="s">
        <v>249</v>
      </c>
      <c r="G184"/>
    </row>
    <row r="185" spans="1:7" ht="15.75">
      <c r="A185" t="str">
        <f t="shared" si="2"/>
        <v>BexCADCHAUFF</v>
      </c>
      <c r="B185" s="148">
        <v>5402</v>
      </c>
      <c r="C185" s="148" t="s">
        <v>401</v>
      </c>
      <c r="D185" s="148" t="s">
        <v>242</v>
      </c>
      <c r="E185" s="148">
        <v>1045674.4</v>
      </c>
      <c r="F185" t="s">
        <v>249</v>
      </c>
      <c r="G185"/>
    </row>
    <row r="186" spans="1:7" ht="15.75">
      <c r="A186" t="str">
        <f t="shared" si="2"/>
        <v>BexCharbonCHAUFF</v>
      </c>
      <c r="B186" s="148">
        <v>5402</v>
      </c>
      <c r="C186" s="148" t="s">
        <v>401</v>
      </c>
      <c r="D186" s="148" t="s">
        <v>695</v>
      </c>
      <c r="E186" s="148" t="e">
        <v>#N/A</v>
      </c>
      <c r="F186" t="s">
        <v>249</v>
      </c>
      <c r="G186"/>
    </row>
    <row r="187" spans="1:7" ht="15.75">
      <c r="A187" t="str">
        <f t="shared" si="2"/>
        <v>BexElectricitéCHAUFF</v>
      </c>
      <c r="B187" s="148">
        <v>5402</v>
      </c>
      <c r="C187" s="148" t="s">
        <v>401</v>
      </c>
      <c r="D187" s="148" t="s">
        <v>97</v>
      </c>
      <c r="E187" s="148">
        <v>3410390.7634408688</v>
      </c>
      <c r="F187" t="s">
        <v>249</v>
      </c>
      <c r="G187"/>
    </row>
    <row r="188" spans="1:7" ht="15.75">
      <c r="A188" t="str">
        <f t="shared" si="2"/>
        <v>BexGazCHAUFF</v>
      </c>
      <c r="B188" s="148">
        <v>5402</v>
      </c>
      <c r="C188" s="148" t="s">
        <v>401</v>
      </c>
      <c r="D188" s="148" t="s">
        <v>239</v>
      </c>
      <c r="E188" s="148">
        <v>37265419.026501626</v>
      </c>
      <c r="F188" t="s">
        <v>249</v>
      </c>
      <c r="G188"/>
    </row>
    <row r="189" spans="1:7" ht="15.75">
      <c r="A189" t="str">
        <f t="shared" si="2"/>
        <v>BexMazoutCHAUFF</v>
      </c>
      <c r="B189" s="148">
        <v>5402</v>
      </c>
      <c r="C189" s="148" t="s">
        <v>401</v>
      </c>
      <c r="D189" s="148" t="s">
        <v>70</v>
      </c>
      <c r="E189" s="148">
        <v>34685725.577375621</v>
      </c>
      <c r="F189" t="s">
        <v>249</v>
      </c>
      <c r="G189"/>
    </row>
    <row r="190" spans="1:7" ht="15.75">
      <c r="A190" t="str">
        <f t="shared" si="2"/>
        <v>BexNon renseignéCHAUFF</v>
      </c>
      <c r="B190" s="148">
        <v>5402</v>
      </c>
      <c r="C190" s="148" t="s">
        <v>401</v>
      </c>
      <c r="D190" s="148" t="s">
        <v>696</v>
      </c>
      <c r="E190" s="148">
        <v>0</v>
      </c>
      <c r="F190" t="s">
        <v>249</v>
      </c>
      <c r="G190"/>
    </row>
    <row r="191" spans="1:7" ht="15.75">
      <c r="A191" t="str">
        <f t="shared" si="2"/>
        <v>BexPACCHAUFF</v>
      </c>
      <c r="B191" s="148">
        <v>5402</v>
      </c>
      <c r="C191" s="148" t="s">
        <v>401</v>
      </c>
      <c r="D191" s="148" t="s">
        <v>69</v>
      </c>
      <c r="E191" s="148">
        <v>702210.52030546975</v>
      </c>
      <c r="F191" t="s">
        <v>249</v>
      </c>
      <c r="G191"/>
    </row>
    <row r="192" spans="1:7" ht="15.75">
      <c r="A192" t="str">
        <f t="shared" si="2"/>
        <v>BexSolaireCHAUFF</v>
      </c>
      <c r="B192" s="148">
        <v>5402</v>
      </c>
      <c r="C192" s="148" t="s">
        <v>401</v>
      </c>
      <c r="D192" s="148" t="s">
        <v>240</v>
      </c>
      <c r="E192" s="148">
        <v>55234.400000000001</v>
      </c>
      <c r="F192" t="s">
        <v>249</v>
      </c>
      <c r="G192"/>
    </row>
    <row r="193" spans="1:7" ht="15.75">
      <c r="A193" t="str">
        <f t="shared" si="2"/>
        <v>BièreBoisCHAUFF</v>
      </c>
      <c r="B193" s="148">
        <v>5425</v>
      </c>
      <c r="C193" s="148" t="s">
        <v>667</v>
      </c>
      <c r="D193" s="148" t="s">
        <v>66</v>
      </c>
      <c r="E193" s="148">
        <v>2016091.6362353</v>
      </c>
      <c r="F193" t="s">
        <v>249</v>
      </c>
      <c r="G193"/>
    </row>
    <row r="194" spans="1:7" ht="15.75">
      <c r="A194" t="str">
        <f t="shared" si="2"/>
        <v>BièreCADCHAUFF</v>
      </c>
      <c r="B194" s="148">
        <v>5425</v>
      </c>
      <c r="C194" s="148" t="s">
        <v>667</v>
      </c>
      <c r="D194" s="148" t="s">
        <v>242</v>
      </c>
      <c r="E194" s="148">
        <v>1344427.52</v>
      </c>
      <c r="F194" t="s">
        <v>249</v>
      </c>
      <c r="G194"/>
    </row>
    <row r="195" spans="1:7" ht="15.75">
      <c r="A195" t="str">
        <f t="shared" ref="A195:A258" si="3">_xlfn.CONCAT(C195,D195,F195)</f>
        <v>BièreElectricitéCHAUFF</v>
      </c>
      <c r="B195" s="148">
        <v>5425</v>
      </c>
      <c r="C195" s="148" t="s">
        <v>667</v>
      </c>
      <c r="D195" s="148" t="s">
        <v>97</v>
      </c>
      <c r="E195" s="148">
        <v>1573855.0537634699</v>
      </c>
      <c r="F195" t="s">
        <v>249</v>
      </c>
      <c r="G195"/>
    </row>
    <row r="196" spans="1:7" ht="15.75">
      <c r="A196" t="str">
        <f t="shared" si="3"/>
        <v>BièreGazCHAUFF</v>
      </c>
      <c r="B196" s="148">
        <v>5425</v>
      </c>
      <c r="C196" s="148" t="s">
        <v>667</v>
      </c>
      <c r="D196" s="148" t="s">
        <v>239</v>
      </c>
      <c r="E196" s="148">
        <v>3027658.6594427084</v>
      </c>
      <c r="F196" t="s">
        <v>249</v>
      </c>
      <c r="G196"/>
    </row>
    <row r="197" spans="1:7" ht="15.75">
      <c r="A197" t="str">
        <f t="shared" si="3"/>
        <v>BièreMazoutCHAUFF</v>
      </c>
      <c r="B197" s="148">
        <v>5425</v>
      </c>
      <c r="C197" s="148" t="s">
        <v>667</v>
      </c>
      <c r="D197" s="148" t="s">
        <v>70</v>
      </c>
      <c r="E197" s="148">
        <v>16021684.000000041</v>
      </c>
      <c r="F197" t="s">
        <v>249</v>
      </c>
      <c r="G197"/>
    </row>
    <row r="198" spans="1:7" ht="15.75">
      <c r="A198" t="str">
        <f t="shared" si="3"/>
        <v>BièreNon renseignéCHAUFF</v>
      </c>
      <c r="B198" s="148">
        <v>5425</v>
      </c>
      <c r="C198" s="148" t="s">
        <v>667</v>
      </c>
      <c r="D198" s="148" t="s">
        <v>696</v>
      </c>
      <c r="E198" s="148">
        <v>0</v>
      </c>
      <c r="F198" t="s">
        <v>249</v>
      </c>
      <c r="G198"/>
    </row>
    <row r="199" spans="1:7" ht="15.75">
      <c r="A199" t="str">
        <f t="shared" si="3"/>
        <v>BièrePACCHAUFF</v>
      </c>
      <c r="B199" s="148">
        <v>5425</v>
      </c>
      <c r="C199" s="148" t="s">
        <v>667</v>
      </c>
      <c r="D199" s="148" t="s">
        <v>69</v>
      </c>
      <c r="E199" s="148">
        <v>129410.44444445</v>
      </c>
      <c r="F199" t="s">
        <v>249</v>
      </c>
      <c r="G199"/>
    </row>
    <row r="200" spans="1:7" ht="15.75">
      <c r="A200" t="str">
        <f t="shared" si="3"/>
        <v>BièreSolaireCHAUFF</v>
      </c>
      <c r="B200" s="148">
        <v>5425</v>
      </c>
      <c r="C200" s="148" t="s">
        <v>667</v>
      </c>
      <c r="D200" s="148" t="s">
        <v>240</v>
      </c>
      <c r="E200" s="148">
        <v>30333.200000000001</v>
      </c>
      <c r="F200" t="s">
        <v>249</v>
      </c>
      <c r="G200"/>
    </row>
    <row r="201" spans="1:7" ht="15.75">
      <c r="A201" t="str">
        <f t="shared" si="3"/>
        <v>Bioley-MagnouxBoisCHAUFF</v>
      </c>
      <c r="B201" s="148">
        <v>5903</v>
      </c>
      <c r="C201" s="148" t="s">
        <v>402</v>
      </c>
      <c r="D201" s="148" t="s">
        <v>66</v>
      </c>
      <c r="E201" s="148">
        <v>755585.11215685995</v>
      </c>
      <c r="F201" t="s">
        <v>249</v>
      </c>
      <c r="G201"/>
    </row>
    <row r="202" spans="1:7" ht="15.75">
      <c r="A202" t="str">
        <f t="shared" si="3"/>
        <v>Bioley-MagnouxCADCHAUFF</v>
      </c>
      <c r="B202" s="148">
        <v>5903</v>
      </c>
      <c r="C202" s="148" t="s">
        <v>402</v>
      </c>
      <c r="D202" s="148" t="s">
        <v>242</v>
      </c>
      <c r="E202" s="148">
        <v>61965.16</v>
      </c>
      <c r="F202" t="s">
        <v>249</v>
      </c>
      <c r="G202"/>
    </row>
    <row r="203" spans="1:7" ht="15.75">
      <c r="A203" t="str">
        <f t="shared" si="3"/>
        <v>Bioley-MagnouxElectricitéCHAUFF</v>
      </c>
      <c r="B203" s="148">
        <v>5903</v>
      </c>
      <c r="C203" s="148" t="s">
        <v>402</v>
      </c>
      <c r="D203" s="148" t="s">
        <v>97</v>
      </c>
      <c r="E203" s="148">
        <v>174659.78494624002</v>
      </c>
      <c r="F203" t="s">
        <v>249</v>
      </c>
      <c r="G203"/>
    </row>
    <row r="204" spans="1:7" ht="15.75">
      <c r="A204" t="str">
        <f t="shared" si="3"/>
        <v>Bioley-MagnouxGazCHAUFF</v>
      </c>
      <c r="B204" s="148">
        <v>5903</v>
      </c>
      <c r="C204" s="148" t="s">
        <v>402</v>
      </c>
      <c r="D204" s="148" t="s">
        <v>239</v>
      </c>
      <c r="E204" s="148">
        <v>68141.696594430003</v>
      </c>
      <c r="F204" t="s">
        <v>249</v>
      </c>
      <c r="G204"/>
    </row>
    <row r="205" spans="1:7" ht="15.75">
      <c r="A205" t="str">
        <f t="shared" si="3"/>
        <v>Bioley-MagnouxMazoutCHAUFF</v>
      </c>
      <c r="B205" s="148">
        <v>5903</v>
      </c>
      <c r="C205" s="148" t="s">
        <v>402</v>
      </c>
      <c r="D205" s="148" t="s">
        <v>70</v>
      </c>
      <c r="E205" s="148">
        <v>3489989.9294117391</v>
      </c>
      <c r="F205" t="s">
        <v>249</v>
      </c>
      <c r="G205"/>
    </row>
    <row r="206" spans="1:7" ht="15.75">
      <c r="A206" t="str">
        <f t="shared" si="3"/>
        <v>Bioley-MagnouxNon renseignéCHAUFF</v>
      </c>
      <c r="B206" s="148">
        <v>5903</v>
      </c>
      <c r="C206" s="148" t="s">
        <v>402</v>
      </c>
      <c r="D206" s="148" t="s">
        <v>696</v>
      </c>
      <c r="E206" s="148">
        <v>0</v>
      </c>
      <c r="F206" t="s">
        <v>249</v>
      </c>
      <c r="G206"/>
    </row>
    <row r="207" spans="1:7" ht="15.75">
      <c r="A207" t="str">
        <f t="shared" si="3"/>
        <v>Bioley-MagnouxPACCHAUFF</v>
      </c>
      <c r="B207" s="148">
        <v>5903</v>
      </c>
      <c r="C207" s="148" t="s">
        <v>402</v>
      </c>
      <c r="D207" s="148" t="s">
        <v>69</v>
      </c>
      <c r="E207" s="148">
        <v>138368.77858293999</v>
      </c>
      <c r="F207" t="s">
        <v>249</v>
      </c>
      <c r="G207"/>
    </row>
    <row r="208" spans="1:7" ht="15.75">
      <c r="A208" t="str">
        <f t="shared" si="3"/>
        <v>Bioley-MagnouxSolaireCHAUFF</v>
      </c>
      <c r="B208" s="148">
        <v>5903</v>
      </c>
      <c r="C208" s="148" t="s">
        <v>402</v>
      </c>
      <c r="D208" s="148" t="s">
        <v>240</v>
      </c>
      <c r="E208" s="148" t="e">
        <v>#N/A</v>
      </c>
      <c r="F208" t="s">
        <v>249</v>
      </c>
      <c r="G208"/>
    </row>
    <row r="209" spans="1:7" ht="15.75">
      <c r="A209" t="str">
        <f t="shared" si="3"/>
        <v>Bioley-OrjulazBoisCHAUFF</v>
      </c>
      <c r="B209" s="148">
        <v>5513</v>
      </c>
      <c r="C209" s="148" t="s">
        <v>403</v>
      </c>
      <c r="D209" s="148" t="s">
        <v>66</v>
      </c>
      <c r="E209" s="148" t="e">
        <v>#N/A</v>
      </c>
      <c r="F209" t="s">
        <v>249</v>
      </c>
      <c r="G209"/>
    </row>
    <row r="210" spans="1:7" ht="15.75">
      <c r="A210" t="str">
        <f t="shared" si="3"/>
        <v>Bioley-OrjulazElectricitéCHAUFF</v>
      </c>
      <c r="B210" s="148">
        <v>5513</v>
      </c>
      <c r="C210" s="148" t="s">
        <v>403</v>
      </c>
      <c r="D210" s="148" t="s">
        <v>97</v>
      </c>
      <c r="E210" s="148" t="e">
        <v>#N/A</v>
      </c>
      <c r="F210" t="s">
        <v>249</v>
      </c>
      <c r="G210"/>
    </row>
    <row r="211" spans="1:7" ht="15.75">
      <c r="A211" t="str">
        <f t="shared" si="3"/>
        <v>Bioley-OrjulazGazCHAUFF</v>
      </c>
      <c r="B211" s="148">
        <v>5513</v>
      </c>
      <c r="C211" s="148" t="s">
        <v>403</v>
      </c>
      <c r="D211" s="148" t="s">
        <v>239</v>
      </c>
      <c r="E211" s="148" t="e">
        <v>#N/A</v>
      </c>
      <c r="F211" t="s">
        <v>249</v>
      </c>
      <c r="G211"/>
    </row>
    <row r="212" spans="1:7" ht="15.75">
      <c r="A212" t="str">
        <f t="shared" si="3"/>
        <v>Bioley-OrjulazMazoutCHAUFF</v>
      </c>
      <c r="B212" s="148">
        <v>5513</v>
      </c>
      <c r="C212" s="148" t="s">
        <v>403</v>
      </c>
      <c r="D212" s="148" t="s">
        <v>70</v>
      </c>
      <c r="E212" s="148" t="e">
        <v>#N/A</v>
      </c>
      <c r="F212" t="s">
        <v>249</v>
      </c>
      <c r="G212"/>
    </row>
    <row r="213" spans="1:7" ht="15.75">
      <c r="A213" t="str">
        <f t="shared" si="3"/>
        <v>Bioley-OrjulazNon renseignéCHAUFF</v>
      </c>
      <c r="B213" s="148">
        <v>5513</v>
      </c>
      <c r="C213" s="148" t="s">
        <v>403</v>
      </c>
      <c r="D213" s="148" t="s">
        <v>696</v>
      </c>
      <c r="E213" s="148" t="e">
        <v>#N/A</v>
      </c>
      <c r="F213" t="s">
        <v>249</v>
      </c>
      <c r="G213"/>
    </row>
    <row r="214" spans="1:7" ht="15.75">
      <c r="A214" t="str">
        <f t="shared" si="3"/>
        <v>Bioley-OrjulazPACCHAUFF</v>
      </c>
      <c r="B214" s="148">
        <v>5513</v>
      </c>
      <c r="C214" s="148" t="s">
        <v>403</v>
      </c>
      <c r="D214" s="148" t="s">
        <v>69</v>
      </c>
      <c r="E214" s="148" t="e">
        <v>#N/A</v>
      </c>
      <c r="F214" t="s">
        <v>249</v>
      </c>
      <c r="G214"/>
    </row>
    <row r="215" spans="1:7" ht="15.75">
      <c r="A215" t="str">
        <f t="shared" si="3"/>
        <v>Bioley-OrjulazSolaireCHAUFF</v>
      </c>
      <c r="B215" s="148">
        <v>5513</v>
      </c>
      <c r="C215" s="148" t="s">
        <v>403</v>
      </c>
      <c r="D215" s="148" t="s">
        <v>240</v>
      </c>
      <c r="E215" s="148" t="e">
        <v>#N/A</v>
      </c>
      <c r="F215" t="s">
        <v>249</v>
      </c>
      <c r="G215"/>
    </row>
    <row r="216" spans="1:7" ht="15.75">
      <c r="A216" t="str">
        <f t="shared" si="3"/>
        <v>BlonayAutre agent énergétiqueCHAUFF</v>
      </c>
      <c r="B216" s="148">
        <v>5881</v>
      </c>
      <c r="C216" s="148" t="s">
        <v>404</v>
      </c>
      <c r="D216" s="148" t="s">
        <v>245</v>
      </c>
      <c r="E216" s="148">
        <v>131216.00000001001</v>
      </c>
      <c r="F216" t="s">
        <v>249</v>
      </c>
      <c r="G216"/>
    </row>
    <row r="217" spans="1:7" ht="15.75">
      <c r="A217" t="str">
        <f t="shared" si="3"/>
        <v>BlonayBoisCHAUFF</v>
      </c>
      <c r="B217" s="148">
        <v>5881</v>
      </c>
      <c r="C217" s="148" t="s">
        <v>404</v>
      </c>
      <c r="D217" s="148" t="s">
        <v>66</v>
      </c>
      <c r="E217" s="148">
        <v>2013595.8188235601</v>
      </c>
      <c r="F217" t="s">
        <v>249</v>
      </c>
      <c r="G217"/>
    </row>
    <row r="218" spans="1:7" ht="15.75">
      <c r="A218" t="str">
        <f t="shared" si="3"/>
        <v>BlonayCADCHAUFF</v>
      </c>
      <c r="B218" s="148">
        <v>5881</v>
      </c>
      <c r="C218" s="148" t="s">
        <v>404</v>
      </c>
      <c r="D218" s="148" t="s">
        <v>242</v>
      </c>
      <c r="E218" s="148">
        <v>3217495.8</v>
      </c>
      <c r="F218" t="s">
        <v>249</v>
      </c>
      <c r="G218"/>
    </row>
    <row r="219" spans="1:7" ht="15.75">
      <c r="A219" t="str">
        <f t="shared" si="3"/>
        <v>BlonayCharbonCHAUFF</v>
      </c>
      <c r="B219" s="148">
        <v>5881</v>
      </c>
      <c r="C219" s="148" t="s">
        <v>404</v>
      </c>
      <c r="D219" s="148" t="s">
        <v>695</v>
      </c>
      <c r="E219" s="148" t="e">
        <v>#N/A</v>
      </c>
      <c r="F219" t="s">
        <v>249</v>
      </c>
      <c r="G219"/>
    </row>
    <row r="220" spans="1:7" ht="15.75">
      <c r="A220" t="str">
        <f t="shared" si="3"/>
        <v>BlonayElectricitéCHAUFF</v>
      </c>
      <c r="B220" s="148">
        <v>5881</v>
      </c>
      <c r="C220" s="148" t="s">
        <v>404</v>
      </c>
      <c r="D220" s="148" t="s">
        <v>97</v>
      </c>
      <c r="E220" s="148">
        <v>2936633.494623709</v>
      </c>
      <c r="F220" t="s">
        <v>249</v>
      </c>
      <c r="G220"/>
    </row>
    <row r="221" spans="1:7" ht="15.75">
      <c r="A221" t="str">
        <f t="shared" si="3"/>
        <v>BlonayGazCHAUFF</v>
      </c>
      <c r="B221" s="148">
        <v>5881</v>
      </c>
      <c r="C221" s="148" t="s">
        <v>404</v>
      </c>
      <c r="D221" s="148" t="s">
        <v>239</v>
      </c>
      <c r="E221" s="148">
        <v>24660095.622910317</v>
      </c>
      <c r="F221" t="s">
        <v>249</v>
      </c>
      <c r="G221"/>
    </row>
    <row r="222" spans="1:7" ht="15.75">
      <c r="A222" t="str">
        <f t="shared" si="3"/>
        <v>BlonayMazoutCHAUFF</v>
      </c>
      <c r="B222" s="148">
        <v>5881</v>
      </c>
      <c r="C222" s="148" t="s">
        <v>404</v>
      </c>
      <c r="D222" s="148" t="s">
        <v>70</v>
      </c>
      <c r="E222" s="148">
        <v>13814647.094117675</v>
      </c>
      <c r="F222" t="s">
        <v>249</v>
      </c>
      <c r="G222"/>
    </row>
    <row r="223" spans="1:7" ht="15.75">
      <c r="A223" t="str">
        <f t="shared" si="3"/>
        <v>BlonayNon renseignéCHAUFF</v>
      </c>
      <c r="B223" s="148">
        <v>5881</v>
      </c>
      <c r="C223" s="148" t="s">
        <v>404</v>
      </c>
      <c r="D223" s="148" t="s">
        <v>696</v>
      </c>
      <c r="E223" s="148">
        <v>0</v>
      </c>
      <c r="F223" t="s">
        <v>249</v>
      </c>
      <c r="G223"/>
    </row>
    <row r="224" spans="1:7" ht="15.75">
      <c r="A224" t="str">
        <f t="shared" si="3"/>
        <v>BlonayPACCHAUFF</v>
      </c>
      <c r="B224" s="148">
        <v>5881</v>
      </c>
      <c r="C224" s="148" t="s">
        <v>404</v>
      </c>
      <c r="D224" s="148" t="s">
        <v>69</v>
      </c>
      <c r="E224" s="148">
        <v>1183384.0231820606</v>
      </c>
      <c r="F224" t="s">
        <v>249</v>
      </c>
      <c r="G224"/>
    </row>
    <row r="225" spans="1:7" ht="15.75">
      <c r="A225" t="str">
        <f t="shared" si="3"/>
        <v>BlonaySolaireCHAUFF</v>
      </c>
      <c r="B225" s="148">
        <v>5881</v>
      </c>
      <c r="C225" s="148" t="s">
        <v>404</v>
      </c>
      <c r="D225" s="148" t="s">
        <v>240</v>
      </c>
      <c r="E225" s="148">
        <v>46124.480000000003</v>
      </c>
      <c r="F225" t="s">
        <v>249</v>
      </c>
      <c r="G225"/>
    </row>
    <row r="226" spans="1:7" ht="15.75">
      <c r="A226" t="str">
        <f t="shared" si="3"/>
        <v>BofflensBoisCHAUFF</v>
      </c>
      <c r="B226" s="148">
        <v>5747</v>
      </c>
      <c r="C226" s="148" t="s">
        <v>405</v>
      </c>
      <c r="D226" s="148" t="s">
        <v>66</v>
      </c>
      <c r="E226" s="148">
        <v>965130.86666667007</v>
      </c>
      <c r="F226" t="s">
        <v>249</v>
      </c>
      <c r="G226"/>
    </row>
    <row r="227" spans="1:7" ht="15.75">
      <c r="A227" t="str">
        <f t="shared" si="3"/>
        <v>BofflensElectricitéCHAUFF</v>
      </c>
      <c r="B227" s="148">
        <v>5747</v>
      </c>
      <c r="C227" s="148" t="s">
        <v>405</v>
      </c>
      <c r="D227" s="148" t="s">
        <v>97</v>
      </c>
      <c r="E227" s="148">
        <v>605200.86021504994</v>
      </c>
      <c r="F227" t="s">
        <v>249</v>
      </c>
      <c r="G227"/>
    </row>
    <row r="228" spans="1:7" ht="15.75">
      <c r="A228" t="str">
        <f t="shared" si="3"/>
        <v>BofflensGazCHAUFF</v>
      </c>
      <c r="B228" s="148">
        <v>5747</v>
      </c>
      <c r="C228" s="148" t="s">
        <v>405</v>
      </c>
      <c r="D228" s="148" t="s">
        <v>239</v>
      </c>
      <c r="E228" s="148">
        <v>633988.04334364005</v>
      </c>
      <c r="F228" t="s">
        <v>249</v>
      </c>
      <c r="G228"/>
    </row>
    <row r="229" spans="1:7" ht="15.75">
      <c r="A229" t="str">
        <f t="shared" si="3"/>
        <v>BofflensMazoutCHAUFF</v>
      </c>
      <c r="B229" s="148">
        <v>5747</v>
      </c>
      <c r="C229" s="148" t="s">
        <v>405</v>
      </c>
      <c r="D229" s="148" t="s">
        <v>70</v>
      </c>
      <c r="E229" s="148">
        <v>845278.39999999991</v>
      </c>
      <c r="F229" t="s">
        <v>249</v>
      </c>
      <c r="G229"/>
    </row>
    <row r="230" spans="1:7" ht="15.75">
      <c r="A230" t="str">
        <f t="shared" si="3"/>
        <v>BofflensNon renseignéCHAUFF</v>
      </c>
      <c r="B230" s="148">
        <v>5747</v>
      </c>
      <c r="C230" s="148" t="s">
        <v>405</v>
      </c>
      <c r="D230" s="148" t="s">
        <v>696</v>
      </c>
      <c r="E230" s="148">
        <v>0</v>
      </c>
      <c r="F230" t="s">
        <v>249</v>
      </c>
      <c r="G230"/>
    </row>
    <row r="231" spans="1:7" ht="15.75">
      <c r="A231" t="str">
        <f t="shared" si="3"/>
        <v>BofflensPACCHAUFF</v>
      </c>
      <c r="B231" s="148">
        <v>5747</v>
      </c>
      <c r="C231" s="148" t="s">
        <v>405</v>
      </c>
      <c r="D231" s="148" t="s">
        <v>69</v>
      </c>
      <c r="E231" s="148">
        <v>46125.687184189999</v>
      </c>
      <c r="F231" t="s">
        <v>249</v>
      </c>
      <c r="G231"/>
    </row>
    <row r="232" spans="1:7" ht="15.75">
      <c r="A232" t="str">
        <f t="shared" si="3"/>
        <v>BofflensSolaireCHAUFF</v>
      </c>
      <c r="B232" s="148">
        <v>5747</v>
      </c>
      <c r="C232" s="148" t="s">
        <v>405</v>
      </c>
      <c r="D232" s="148" t="s">
        <v>240</v>
      </c>
      <c r="E232" s="148" t="e">
        <v>#N/A</v>
      </c>
      <c r="F232" t="s">
        <v>249</v>
      </c>
      <c r="G232"/>
    </row>
    <row r="233" spans="1:7" ht="15.75">
      <c r="A233" t="str">
        <f t="shared" si="3"/>
        <v>Bogis-BosseyBoisCHAUFF</v>
      </c>
      <c r="B233" s="148">
        <v>5705</v>
      </c>
      <c r="C233" s="148" t="s">
        <v>406</v>
      </c>
      <c r="D233" s="148" t="s">
        <v>66</v>
      </c>
      <c r="E233" s="148">
        <v>45100.800000000003</v>
      </c>
      <c r="F233" t="s">
        <v>249</v>
      </c>
      <c r="G233"/>
    </row>
    <row r="234" spans="1:7" ht="15.75">
      <c r="A234" t="str">
        <f t="shared" si="3"/>
        <v>Bogis-BosseyCADCHAUFF</v>
      </c>
      <c r="B234" s="148">
        <v>5705</v>
      </c>
      <c r="C234" s="148" t="s">
        <v>406</v>
      </c>
      <c r="D234" s="148" t="s">
        <v>242</v>
      </c>
      <c r="E234" s="148">
        <v>444394.60000000003</v>
      </c>
      <c r="F234" t="s">
        <v>249</v>
      </c>
      <c r="G234"/>
    </row>
    <row r="235" spans="1:7" ht="15.75">
      <c r="A235" t="str">
        <f t="shared" si="3"/>
        <v>Bogis-BosseyElectricitéCHAUFF</v>
      </c>
      <c r="B235" s="148">
        <v>5705</v>
      </c>
      <c r="C235" s="148" t="s">
        <v>406</v>
      </c>
      <c r="D235" s="148" t="s">
        <v>97</v>
      </c>
      <c r="E235" s="148">
        <v>5144286.8100358518</v>
      </c>
      <c r="F235" t="s">
        <v>249</v>
      </c>
      <c r="G235"/>
    </row>
    <row r="236" spans="1:7" ht="15.75">
      <c r="A236" t="str">
        <f t="shared" si="3"/>
        <v>Bogis-BosseyMazoutCHAUFF</v>
      </c>
      <c r="B236" s="148">
        <v>5705</v>
      </c>
      <c r="C236" s="148" t="s">
        <v>406</v>
      </c>
      <c r="D236" s="148" t="s">
        <v>70</v>
      </c>
      <c r="E236" s="148">
        <v>3811200.9411764499</v>
      </c>
      <c r="F236" t="s">
        <v>249</v>
      </c>
      <c r="G236"/>
    </row>
    <row r="237" spans="1:7" ht="15.75">
      <c r="A237" t="str">
        <f t="shared" si="3"/>
        <v>Bogis-BosseyNon renseignéCHAUFF</v>
      </c>
      <c r="B237" s="148">
        <v>5705</v>
      </c>
      <c r="C237" s="148" t="s">
        <v>406</v>
      </c>
      <c r="D237" s="148" t="s">
        <v>696</v>
      </c>
      <c r="E237" s="148" t="e">
        <v>#N/A</v>
      </c>
      <c r="F237" t="s">
        <v>249</v>
      </c>
      <c r="G237"/>
    </row>
    <row r="238" spans="1:7" ht="15.75">
      <c r="A238" t="str">
        <f t="shared" si="3"/>
        <v>Bogis-BosseyPACCHAUFF</v>
      </c>
      <c r="B238" s="148">
        <v>5705</v>
      </c>
      <c r="C238" s="148" t="s">
        <v>406</v>
      </c>
      <c r="D238" s="148" t="s">
        <v>69</v>
      </c>
      <c r="E238" s="148">
        <v>479213.93044516008</v>
      </c>
      <c r="F238" t="s">
        <v>249</v>
      </c>
      <c r="G238"/>
    </row>
    <row r="239" spans="1:7" ht="15.75">
      <c r="A239" t="str">
        <f t="shared" si="3"/>
        <v>Bogis-BosseySolaireCHAUFF</v>
      </c>
      <c r="B239" s="148">
        <v>5705</v>
      </c>
      <c r="C239" s="148" t="s">
        <v>406</v>
      </c>
      <c r="D239" s="148" t="s">
        <v>240</v>
      </c>
      <c r="E239" s="148" t="e">
        <v>#N/A</v>
      </c>
      <c r="F239" t="s">
        <v>249</v>
      </c>
      <c r="G239"/>
    </row>
    <row r="240" spans="1:7" ht="15.75">
      <c r="A240" t="str">
        <f t="shared" si="3"/>
        <v>BonvillarsAutre agent énergétiqueCHAUFF</v>
      </c>
      <c r="B240" s="148">
        <v>5551</v>
      </c>
      <c r="C240" s="148" t="s">
        <v>407</v>
      </c>
      <c r="D240" s="148" t="s">
        <v>245</v>
      </c>
      <c r="E240" s="148">
        <v>23604.705882350001</v>
      </c>
      <c r="F240" t="s">
        <v>249</v>
      </c>
      <c r="G240"/>
    </row>
    <row r="241" spans="1:7" ht="15.75">
      <c r="A241" t="str">
        <f t="shared" si="3"/>
        <v>BonvillarsBoisCHAUFF</v>
      </c>
      <c r="B241" s="148">
        <v>5551</v>
      </c>
      <c r="C241" s="148" t="s">
        <v>407</v>
      </c>
      <c r="D241" s="148" t="s">
        <v>66</v>
      </c>
      <c r="E241" s="148">
        <v>1273844.74509805</v>
      </c>
      <c r="F241" t="s">
        <v>249</v>
      </c>
      <c r="G241"/>
    </row>
    <row r="242" spans="1:7" ht="15.75">
      <c r="A242" t="str">
        <f t="shared" si="3"/>
        <v>BonvillarsElectricitéCHAUFF</v>
      </c>
      <c r="B242" s="148">
        <v>5551</v>
      </c>
      <c r="C242" s="148" t="s">
        <v>407</v>
      </c>
      <c r="D242" s="148" t="s">
        <v>97</v>
      </c>
      <c r="E242" s="148">
        <v>1104279.56989245</v>
      </c>
      <c r="F242" t="s">
        <v>249</v>
      </c>
      <c r="G242"/>
    </row>
    <row r="243" spans="1:7" ht="15.75">
      <c r="A243" t="str">
        <f t="shared" si="3"/>
        <v>BonvillarsMazoutCHAUFF</v>
      </c>
      <c r="B243" s="148">
        <v>5551</v>
      </c>
      <c r="C243" s="148" t="s">
        <v>407</v>
      </c>
      <c r="D243" s="148" t="s">
        <v>70</v>
      </c>
      <c r="E243" s="148">
        <v>4916884.4705882175</v>
      </c>
      <c r="F243" t="s">
        <v>249</v>
      </c>
      <c r="G243"/>
    </row>
    <row r="244" spans="1:7" ht="15.75">
      <c r="A244" t="str">
        <f t="shared" si="3"/>
        <v>BonvillarsNon renseignéCHAUFF</v>
      </c>
      <c r="B244" s="148">
        <v>5551</v>
      </c>
      <c r="C244" s="148" t="s">
        <v>407</v>
      </c>
      <c r="D244" s="148" t="s">
        <v>696</v>
      </c>
      <c r="E244" s="148">
        <v>0</v>
      </c>
      <c r="F244" t="s">
        <v>249</v>
      </c>
      <c r="G244"/>
    </row>
    <row r="245" spans="1:7" ht="15.75">
      <c r="A245" t="str">
        <f t="shared" si="3"/>
        <v>BonvillarsPACCHAUFF</v>
      </c>
      <c r="B245" s="148">
        <v>5551</v>
      </c>
      <c r="C245" s="148" t="s">
        <v>407</v>
      </c>
      <c r="D245" s="148" t="s">
        <v>69</v>
      </c>
      <c r="E245" s="148">
        <v>256971.60386472</v>
      </c>
      <c r="F245" t="s">
        <v>249</v>
      </c>
      <c r="G245"/>
    </row>
    <row r="246" spans="1:7" ht="15.75">
      <c r="A246" t="str">
        <f t="shared" si="3"/>
        <v>BonvillarsSolaireCHAUFF</v>
      </c>
      <c r="B246" s="148">
        <v>5551</v>
      </c>
      <c r="C246" s="148" t="s">
        <v>407</v>
      </c>
      <c r="D246" s="148" t="s">
        <v>240</v>
      </c>
      <c r="E246" s="148">
        <v>9177</v>
      </c>
      <c r="F246" t="s">
        <v>249</v>
      </c>
      <c r="G246"/>
    </row>
    <row r="247" spans="1:7" ht="15.75">
      <c r="A247" t="str">
        <f t="shared" si="3"/>
        <v>BonvillarsGazCHAUFF</v>
      </c>
      <c r="B247" s="148">
        <v>5551</v>
      </c>
      <c r="C247" s="148" t="s">
        <v>407</v>
      </c>
      <c r="D247" s="148" t="s">
        <v>239</v>
      </c>
      <c r="E247" s="148" t="e">
        <v>#N/A</v>
      </c>
      <c r="F247" t="s">
        <v>249</v>
      </c>
      <c r="G247"/>
    </row>
    <row r="248" spans="1:7" ht="15.75">
      <c r="A248" t="str">
        <f t="shared" si="3"/>
        <v>BorexBoisCHAUFF</v>
      </c>
      <c r="B248" s="148">
        <v>5706</v>
      </c>
      <c r="C248" s="148" t="s">
        <v>408</v>
      </c>
      <c r="D248" s="148" t="s">
        <v>66</v>
      </c>
      <c r="E248" s="148">
        <v>1244010.03921568</v>
      </c>
      <c r="F248" t="s">
        <v>249</v>
      </c>
      <c r="G248"/>
    </row>
    <row r="249" spans="1:7" ht="15.75">
      <c r="A249" t="str">
        <f t="shared" si="3"/>
        <v>BorexCADCHAUFF</v>
      </c>
      <c r="B249" s="148">
        <v>5706</v>
      </c>
      <c r="C249" s="148" t="s">
        <v>408</v>
      </c>
      <c r="D249" s="148" t="s">
        <v>242</v>
      </c>
      <c r="E249" s="148">
        <v>57771</v>
      </c>
      <c r="F249" t="s">
        <v>249</v>
      </c>
      <c r="G249"/>
    </row>
    <row r="250" spans="1:7" ht="15.75">
      <c r="A250" t="str">
        <f t="shared" si="3"/>
        <v>BorexElectricitéCHAUFF</v>
      </c>
      <c r="B250" s="148">
        <v>5706</v>
      </c>
      <c r="C250" s="148" t="s">
        <v>408</v>
      </c>
      <c r="D250" s="148" t="s">
        <v>97</v>
      </c>
      <c r="E250" s="148">
        <v>3298571.0107527301</v>
      </c>
      <c r="F250" t="s">
        <v>249</v>
      </c>
      <c r="G250"/>
    </row>
    <row r="251" spans="1:7" ht="15.75">
      <c r="A251" t="str">
        <f t="shared" si="3"/>
        <v>BorexGazCHAUFF</v>
      </c>
      <c r="B251" s="148">
        <v>5706</v>
      </c>
      <c r="C251" s="148" t="s">
        <v>408</v>
      </c>
      <c r="D251" s="148" t="s">
        <v>239</v>
      </c>
      <c r="E251" s="148">
        <v>221906.82352942997</v>
      </c>
      <c r="F251" t="s">
        <v>249</v>
      </c>
      <c r="G251"/>
    </row>
    <row r="252" spans="1:7" ht="15.75">
      <c r="A252" t="str">
        <f t="shared" si="3"/>
        <v>BorexMazoutCHAUFF</v>
      </c>
      <c r="B252" s="148">
        <v>5706</v>
      </c>
      <c r="C252" s="148" t="s">
        <v>408</v>
      </c>
      <c r="D252" s="148" t="s">
        <v>70</v>
      </c>
      <c r="E252" s="148">
        <v>5137716.41176474</v>
      </c>
      <c r="F252" t="s">
        <v>249</v>
      </c>
      <c r="G252"/>
    </row>
    <row r="253" spans="1:7" ht="15.75">
      <c r="A253" t="str">
        <f t="shared" si="3"/>
        <v>BorexPACCHAUFF</v>
      </c>
      <c r="B253" s="148">
        <v>5706</v>
      </c>
      <c r="C253" s="148" t="s">
        <v>408</v>
      </c>
      <c r="D253" s="148" t="s">
        <v>69</v>
      </c>
      <c r="E253" s="148">
        <v>473000.87247416994</v>
      </c>
      <c r="F253" t="s">
        <v>249</v>
      </c>
      <c r="G253"/>
    </row>
    <row r="254" spans="1:7" ht="15.75">
      <c r="A254" t="str">
        <f t="shared" si="3"/>
        <v>BorexSolaireCHAUFF</v>
      </c>
      <c r="B254" s="148">
        <v>5706</v>
      </c>
      <c r="C254" s="148" t="s">
        <v>408</v>
      </c>
      <c r="D254" s="148" t="s">
        <v>240</v>
      </c>
      <c r="E254" s="148" t="e">
        <v>#N/A</v>
      </c>
      <c r="F254" t="s">
        <v>249</v>
      </c>
      <c r="G254"/>
    </row>
    <row r="255" spans="1:7" ht="15.75">
      <c r="A255" t="str">
        <f t="shared" si="3"/>
        <v>BottensAutre agent énergétiqueCHAUFF</v>
      </c>
      <c r="B255" s="148">
        <v>5514</v>
      </c>
      <c r="C255" s="148" t="s">
        <v>409</v>
      </c>
      <c r="D255" s="148" t="s">
        <v>245</v>
      </c>
      <c r="E255" s="148">
        <v>45408.705882349997</v>
      </c>
      <c r="F255" t="s">
        <v>249</v>
      </c>
      <c r="G255"/>
    </row>
    <row r="256" spans="1:7" ht="15.75">
      <c r="A256" t="str">
        <f t="shared" si="3"/>
        <v>BottensBoisCHAUFF</v>
      </c>
      <c r="B256" s="148">
        <v>5514</v>
      </c>
      <c r="C256" s="148" t="s">
        <v>409</v>
      </c>
      <c r="D256" s="148" t="s">
        <v>66</v>
      </c>
      <c r="E256" s="148">
        <v>1483715.9498039002</v>
      </c>
      <c r="F256" t="s">
        <v>249</v>
      </c>
      <c r="G256"/>
    </row>
    <row r="257" spans="1:7" ht="15.75">
      <c r="A257" t="str">
        <f t="shared" si="3"/>
        <v>BottensCADCHAUFF</v>
      </c>
      <c r="B257" s="148">
        <v>5514</v>
      </c>
      <c r="C257" s="148" t="s">
        <v>409</v>
      </c>
      <c r="D257" s="148" t="s">
        <v>242</v>
      </c>
      <c r="E257" s="148">
        <v>6808</v>
      </c>
      <c r="F257" t="s">
        <v>249</v>
      </c>
      <c r="G257"/>
    </row>
    <row r="258" spans="1:7" ht="15.75">
      <c r="A258" t="str">
        <f t="shared" si="3"/>
        <v>BottensElectricitéCHAUFF</v>
      </c>
      <c r="B258" s="148">
        <v>5514</v>
      </c>
      <c r="C258" s="148" t="s">
        <v>409</v>
      </c>
      <c r="D258" s="148" t="s">
        <v>97</v>
      </c>
      <c r="E258" s="148">
        <v>1619269.4086021606</v>
      </c>
      <c r="F258" t="s">
        <v>249</v>
      </c>
      <c r="G258"/>
    </row>
    <row r="259" spans="1:7" ht="15.75">
      <c r="A259" t="str">
        <f t="shared" ref="A259:A322" si="4">_xlfn.CONCAT(C259,D259,F259)</f>
        <v>BottensGazCHAUFF</v>
      </c>
      <c r="B259" s="148">
        <v>5514</v>
      </c>
      <c r="C259" s="148" t="s">
        <v>409</v>
      </c>
      <c r="D259" s="148" t="s">
        <v>239</v>
      </c>
      <c r="E259" s="148">
        <v>4000871.8885448808</v>
      </c>
      <c r="F259" t="s">
        <v>249</v>
      </c>
      <c r="G259"/>
    </row>
    <row r="260" spans="1:7" ht="15.75">
      <c r="A260" t="str">
        <f t="shared" si="4"/>
        <v>BottensMazoutCHAUFF</v>
      </c>
      <c r="B260" s="148">
        <v>5514</v>
      </c>
      <c r="C260" s="148" t="s">
        <v>409</v>
      </c>
      <c r="D260" s="148" t="s">
        <v>70</v>
      </c>
      <c r="E260" s="148">
        <v>4960582.7058823509</v>
      </c>
      <c r="F260" t="s">
        <v>249</v>
      </c>
      <c r="G260"/>
    </row>
    <row r="261" spans="1:7" ht="15.75">
      <c r="A261" t="str">
        <f t="shared" si="4"/>
        <v>BottensNon renseignéCHAUFF</v>
      </c>
      <c r="B261" s="148">
        <v>5514</v>
      </c>
      <c r="C261" s="148" t="s">
        <v>409</v>
      </c>
      <c r="D261" s="148" t="s">
        <v>696</v>
      </c>
      <c r="E261" s="148">
        <v>0</v>
      </c>
      <c r="F261" t="s">
        <v>249</v>
      </c>
      <c r="G261"/>
    </row>
    <row r="262" spans="1:7" ht="15.75">
      <c r="A262" t="str">
        <f t="shared" si="4"/>
        <v>BottensPACCHAUFF</v>
      </c>
      <c r="B262" s="148">
        <v>5514</v>
      </c>
      <c r="C262" s="148" t="s">
        <v>409</v>
      </c>
      <c r="D262" s="148" t="s">
        <v>69</v>
      </c>
      <c r="E262" s="148">
        <v>228645.70370370997</v>
      </c>
      <c r="F262" t="s">
        <v>249</v>
      </c>
      <c r="G262"/>
    </row>
    <row r="263" spans="1:7" ht="15.75">
      <c r="A263" t="str">
        <f t="shared" si="4"/>
        <v>BottensSolaireCHAUFF</v>
      </c>
      <c r="B263" s="148">
        <v>5514</v>
      </c>
      <c r="C263" s="148" t="s">
        <v>409</v>
      </c>
      <c r="D263" s="148" t="s">
        <v>240</v>
      </c>
      <c r="E263" s="148" t="e">
        <v>#N/A</v>
      </c>
      <c r="F263" t="s">
        <v>249</v>
      </c>
      <c r="G263"/>
    </row>
    <row r="264" spans="1:7" ht="15.75">
      <c r="A264" t="str">
        <f t="shared" si="4"/>
        <v>Bougy-VillarsBoisCHAUFF</v>
      </c>
      <c r="B264" s="148">
        <v>5426</v>
      </c>
      <c r="C264" s="148" t="s">
        <v>410</v>
      </c>
      <c r="D264" s="148" t="s">
        <v>66</v>
      </c>
      <c r="E264" s="148">
        <v>596734.54745098995</v>
      </c>
      <c r="F264" t="s">
        <v>249</v>
      </c>
      <c r="G264"/>
    </row>
    <row r="265" spans="1:7" ht="15.75">
      <c r="A265" t="str">
        <f t="shared" si="4"/>
        <v>Bougy-VillarsCADCHAUFF</v>
      </c>
      <c r="B265" s="148">
        <v>5426</v>
      </c>
      <c r="C265" s="148" t="s">
        <v>410</v>
      </c>
      <c r="D265" s="148" t="s">
        <v>242</v>
      </c>
      <c r="E265" s="148">
        <v>269554.40000000002</v>
      </c>
      <c r="F265" t="s">
        <v>249</v>
      </c>
      <c r="G265"/>
    </row>
    <row r="266" spans="1:7" ht="15.75">
      <c r="A266" t="str">
        <f t="shared" si="4"/>
        <v>Bougy-VillarsElectricitéCHAUFF</v>
      </c>
      <c r="B266" s="148">
        <v>5426</v>
      </c>
      <c r="C266" s="148" t="s">
        <v>410</v>
      </c>
      <c r="D266" s="148" t="s">
        <v>97</v>
      </c>
      <c r="E266" s="148">
        <v>781367.63440862007</v>
      </c>
      <c r="F266" t="s">
        <v>249</v>
      </c>
      <c r="G266"/>
    </row>
    <row r="267" spans="1:7" ht="15.75">
      <c r="A267" t="str">
        <f t="shared" si="4"/>
        <v>Bougy-VillarsGazCHAUFF</v>
      </c>
      <c r="B267" s="148">
        <v>5426</v>
      </c>
      <c r="C267" s="148" t="s">
        <v>410</v>
      </c>
      <c r="D267" s="148" t="s">
        <v>239</v>
      </c>
      <c r="E267" s="148">
        <v>99641.102167179997</v>
      </c>
      <c r="F267" t="s">
        <v>249</v>
      </c>
      <c r="G267"/>
    </row>
    <row r="268" spans="1:7" ht="15.75">
      <c r="A268" t="str">
        <f t="shared" si="4"/>
        <v>Bougy-VillarsMazoutCHAUFF</v>
      </c>
      <c r="B268" s="148">
        <v>5426</v>
      </c>
      <c r="C268" s="148" t="s">
        <v>410</v>
      </c>
      <c r="D268" s="148" t="s">
        <v>70</v>
      </c>
      <c r="E268" s="148">
        <v>4856665.8823529212</v>
      </c>
      <c r="F268" t="s">
        <v>249</v>
      </c>
      <c r="G268"/>
    </row>
    <row r="269" spans="1:7" ht="15.75">
      <c r="A269" t="str">
        <f t="shared" si="4"/>
        <v>Bougy-VillarsNon renseignéCHAUFF</v>
      </c>
      <c r="B269" s="148">
        <v>5426</v>
      </c>
      <c r="C269" s="148" t="s">
        <v>410</v>
      </c>
      <c r="D269" s="148" t="s">
        <v>696</v>
      </c>
      <c r="E269" s="148">
        <v>0</v>
      </c>
      <c r="F269" t="s">
        <v>249</v>
      </c>
      <c r="G269"/>
    </row>
    <row r="270" spans="1:7" ht="15.75">
      <c r="A270" t="str">
        <f t="shared" si="4"/>
        <v>Bougy-VillarsPACCHAUFF</v>
      </c>
      <c r="B270" s="148">
        <v>5426</v>
      </c>
      <c r="C270" s="148" t="s">
        <v>410</v>
      </c>
      <c r="D270" s="148" t="s">
        <v>69</v>
      </c>
      <c r="E270" s="148">
        <v>192662.19139263991</v>
      </c>
      <c r="F270" t="s">
        <v>249</v>
      </c>
      <c r="G270"/>
    </row>
    <row r="271" spans="1:7" ht="15.75">
      <c r="A271" t="str">
        <f t="shared" si="4"/>
        <v>Bougy-VillarsSolaireCHAUFF</v>
      </c>
      <c r="B271" s="148">
        <v>5426</v>
      </c>
      <c r="C271" s="148" t="s">
        <v>410</v>
      </c>
      <c r="D271" s="148" t="s">
        <v>240</v>
      </c>
      <c r="E271" s="148" t="e">
        <v>#N/A</v>
      </c>
      <c r="F271" t="s">
        <v>249</v>
      </c>
      <c r="G271"/>
    </row>
    <row r="272" spans="1:7" ht="15.75">
      <c r="A272" t="str">
        <f t="shared" si="4"/>
        <v>BoulensBoisCHAUFF</v>
      </c>
      <c r="B272" s="148">
        <v>5661</v>
      </c>
      <c r="C272" s="148" t="s">
        <v>411</v>
      </c>
      <c r="D272" s="148" t="s">
        <v>66</v>
      </c>
      <c r="E272" s="148">
        <v>616506.78901961015</v>
      </c>
      <c r="F272" t="s">
        <v>249</v>
      </c>
      <c r="G272"/>
    </row>
    <row r="273" spans="1:7" ht="15.75">
      <c r="A273" t="str">
        <f t="shared" si="4"/>
        <v>BoulensElectricitéCHAUFF</v>
      </c>
      <c r="B273" s="148">
        <v>5661</v>
      </c>
      <c r="C273" s="148" t="s">
        <v>411</v>
      </c>
      <c r="D273" s="148" t="s">
        <v>97</v>
      </c>
      <c r="E273" s="148">
        <v>355399.99999998999</v>
      </c>
      <c r="F273" t="s">
        <v>249</v>
      </c>
      <c r="G273"/>
    </row>
    <row r="274" spans="1:7" ht="15.75">
      <c r="A274" t="str">
        <f t="shared" si="4"/>
        <v>BoulensGazCHAUFF</v>
      </c>
      <c r="B274" s="148">
        <v>5661</v>
      </c>
      <c r="C274" s="148" t="s">
        <v>411</v>
      </c>
      <c r="D274" s="148" t="s">
        <v>239</v>
      </c>
      <c r="E274" s="148">
        <v>1120425.4786377901</v>
      </c>
      <c r="F274" t="s">
        <v>249</v>
      </c>
      <c r="G274"/>
    </row>
    <row r="275" spans="1:7" ht="15.75">
      <c r="A275" t="str">
        <f t="shared" si="4"/>
        <v>BoulensMazoutCHAUFF</v>
      </c>
      <c r="B275" s="148">
        <v>5661</v>
      </c>
      <c r="C275" s="148" t="s">
        <v>411</v>
      </c>
      <c r="D275" s="148" t="s">
        <v>70</v>
      </c>
      <c r="E275" s="148">
        <v>1768912.9411764499</v>
      </c>
      <c r="F275" t="s">
        <v>249</v>
      </c>
      <c r="G275"/>
    </row>
    <row r="276" spans="1:7" ht="15.75">
      <c r="A276" t="str">
        <f t="shared" si="4"/>
        <v>BoulensNon renseignéCHAUFF</v>
      </c>
      <c r="B276" s="148">
        <v>5661</v>
      </c>
      <c r="C276" s="148" t="s">
        <v>411</v>
      </c>
      <c r="D276" s="148" t="s">
        <v>696</v>
      </c>
      <c r="E276" s="148">
        <v>0</v>
      </c>
      <c r="F276" t="s">
        <v>249</v>
      </c>
      <c r="G276"/>
    </row>
    <row r="277" spans="1:7" ht="15.75">
      <c r="A277" t="str">
        <f t="shared" si="4"/>
        <v>BoulensPACCHAUFF</v>
      </c>
      <c r="B277" s="148">
        <v>5661</v>
      </c>
      <c r="C277" s="148" t="s">
        <v>411</v>
      </c>
      <c r="D277" s="148" t="s">
        <v>69</v>
      </c>
      <c r="E277" s="148">
        <v>67282.888888899994</v>
      </c>
      <c r="F277" t="s">
        <v>249</v>
      </c>
      <c r="G277"/>
    </row>
    <row r="278" spans="1:7" ht="15.75">
      <c r="A278" t="str">
        <f t="shared" si="4"/>
        <v>BoulensSolaireCHAUFF</v>
      </c>
      <c r="B278" s="148">
        <v>5661</v>
      </c>
      <c r="C278" s="148" t="s">
        <v>411</v>
      </c>
      <c r="D278" s="148" t="s">
        <v>240</v>
      </c>
      <c r="E278" s="148">
        <v>32040</v>
      </c>
      <c r="F278" t="s">
        <v>249</v>
      </c>
      <c r="G278"/>
    </row>
    <row r="279" spans="1:7" ht="15.75">
      <c r="A279" t="str">
        <f t="shared" si="4"/>
        <v>Bourg-en-LavauxAutre agent énergétiqueCHAUFF</v>
      </c>
      <c r="B279" s="148">
        <v>5613</v>
      </c>
      <c r="C279" s="148" t="s">
        <v>666</v>
      </c>
      <c r="D279" s="148" t="s">
        <v>245</v>
      </c>
      <c r="E279" s="148">
        <v>15351.058823529998</v>
      </c>
      <c r="F279" t="s">
        <v>249</v>
      </c>
      <c r="G279"/>
    </row>
    <row r="280" spans="1:7" ht="15.75">
      <c r="A280" t="str">
        <f t="shared" si="4"/>
        <v>Bourg-en-LavauxBoisCHAUFF</v>
      </c>
      <c r="B280" s="148">
        <v>5613</v>
      </c>
      <c r="C280" s="148" t="s">
        <v>666</v>
      </c>
      <c r="D280" s="148" t="s">
        <v>66</v>
      </c>
      <c r="E280" s="148">
        <v>1958233.7294117801</v>
      </c>
      <c r="F280" t="s">
        <v>249</v>
      </c>
      <c r="G280"/>
    </row>
    <row r="281" spans="1:7" ht="15.75">
      <c r="A281" t="str">
        <f t="shared" si="4"/>
        <v>Bourg-en-LavauxCADCHAUFF</v>
      </c>
      <c r="B281" s="148">
        <v>5613</v>
      </c>
      <c r="C281" s="148" t="s">
        <v>666</v>
      </c>
      <c r="D281" s="148" t="s">
        <v>242</v>
      </c>
      <c r="E281" s="148">
        <v>104040</v>
      </c>
      <c r="F281" t="s">
        <v>249</v>
      </c>
      <c r="G281"/>
    </row>
    <row r="282" spans="1:7" ht="15.75">
      <c r="A282" t="str">
        <f t="shared" si="4"/>
        <v>Bourg-en-LavauxCharbonCHAUFF</v>
      </c>
      <c r="B282" s="148">
        <v>5613</v>
      </c>
      <c r="C282" s="148" t="s">
        <v>666</v>
      </c>
      <c r="D282" s="148" t="s">
        <v>695</v>
      </c>
      <c r="E282" s="148" t="e">
        <v>#N/A</v>
      </c>
      <c r="F282" t="s">
        <v>249</v>
      </c>
      <c r="G282"/>
    </row>
    <row r="283" spans="1:7" ht="15.75">
      <c r="A283" t="str">
        <f t="shared" si="4"/>
        <v>Bourg-en-LavauxElectricitéCHAUFF</v>
      </c>
      <c r="B283" s="148">
        <v>5613</v>
      </c>
      <c r="C283" s="148" t="s">
        <v>666</v>
      </c>
      <c r="D283" s="148" t="s">
        <v>97</v>
      </c>
      <c r="E283" s="148">
        <v>9983435.6989247352</v>
      </c>
      <c r="F283" t="s">
        <v>249</v>
      </c>
      <c r="G283"/>
    </row>
    <row r="284" spans="1:7" ht="15.75">
      <c r="A284" t="str">
        <f t="shared" si="4"/>
        <v>Bourg-en-LavauxGazCHAUFF</v>
      </c>
      <c r="B284" s="148">
        <v>5613</v>
      </c>
      <c r="C284" s="148" t="s">
        <v>666</v>
      </c>
      <c r="D284" s="148" t="s">
        <v>239</v>
      </c>
      <c r="E284" s="148">
        <v>11758342.853388343</v>
      </c>
      <c r="F284" t="s">
        <v>249</v>
      </c>
      <c r="G284"/>
    </row>
    <row r="285" spans="1:7" ht="15.75">
      <c r="A285" t="str">
        <f t="shared" si="4"/>
        <v>Bourg-en-LavauxMazoutCHAUFF</v>
      </c>
      <c r="B285" s="148">
        <v>5613</v>
      </c>
      <c r="C285" s="148" t="s">
        <v>666</v>
      </c>
      <c r="D285" s="148" t="s">
        <v>70</v>
      </c>
      <c r="E285" s="148">
        <v>42377568.552941315</v>
      </c>
      <c r="F285" t="s">
        <v>249</v>
      </c>
      <c r="G285"/>
    </row>
    <row r="286" spans="1:7" ht="15.75">
      <c r="A286" t="str">
        <f t="shared" si="4"/>
        <v>Bourg-en-LavauxNon renseignéCHAUFF</v>
      </c>
      <c r="B286" s="148">
        <v>5613</v>
      </c>
      <c r="C286" s="148" t="s">
        <v>666</v>
      </c>
      <c r="D286" s="148" t="s">
        <v>696</v>
      </c>
      <c r="E286" s="148">
        <v>0</v>
      </c>
      <c r="F286" t="s">
        <v>249</v>
      </c>
      <c r="G286"/>
    </row>
    <row r="287" spans="1:7" ht="15.75">
      <c r="A287" t="str">
        <f t="shared" si="4"/>
        <v>Bourg-en-LavauxPACCHAUFF</v>
      </c>
      <c r="B287" s="148">
        <v>5613</v>
      </c>
      <c r="C287" s="148" t="s">
        <v>666</v>
      </c>
      <c r="D287" s="148" t="s">
        <v>69</v>
      </c>
      <c r="E287" s="148">
        <v>1466914.1585631701</v>
      </c>
      <c r="F287" t="s">
        <v>249</v>
      </c>
      <c r="G287"/>
    </row>
    <row r="288" spans="1:7" ht="15.75">
      <c r="A288" t="str">
        <f t="shared" si="4"/>
        <v>Bourg-en-LavauxSolaireCHAUFF</v>
      </c>
      <c r="B288" s="148">
        <v>5613</v>
      </c>
      <c r="C288" s="148" t="s">
        <v>666</v>
      </c>
      <c r="D288" s="148" t="s">
        <v>240</v>
      </c>
      <c r="E288" s="148">
        <v>60264</v>
      </c>
      <c r="F288" t="s">
        <v>249</v>
      </c>
      <c r="G288"/>
    </row>
    <row r="289" spans="1:7" ht="15.75">
      <c r="A289" t="str">
        <f t="shared" si="4"/>
        <v>BournensBoisCHAUFF</v>
      </c>
      <c r="B289" s="148">
        <v>5472</v>
      </c>
      <c r="C289" s="148" t="s">
        <v>412</v>
      </c>
      <c r="D289" s="148" t="s">
        <v>66</v>
      </c>
      <c r="E289" s="148">
        <v>381644.93763439998</v>
      </c>
      <c r="F289" t="s">
        <v>249</v>
      </c>
      <c r="G289"/>
    </row>
    <row r="290" spans="1:7" ht="15.75">
      <c r="A290" t="str">
        <f t="shared" si="4"/>
        <v>BournensElectricitéCHAUFF</v>
      </c>
      <c r="B290" s="148">
        <v>5472</v>
      </c>
      <c r="C290" s="148" t="s">
        <v>412</v>
      </c>
      <c r="D290" s="148" t="s">
        <v>97</v>
      </c>
      <c r="E290" s="148">
        <v>800249.13978493994</v>
      </c>
      <c r="F290" t="s">
        <v>249</v>
      </c>
      <c r="G290"/>
    </row>
    <row r="291" spans="1:7" ht="15.75">
      <c r="A291" t="str">
        <f t="shared" si="4"/>
        <v>BournensGazCHAUFF</v>
      </c>
      <c r="B291" s="148">
        <v>5472</v>
      </c>
      <c r="C291" s="148" t="s">
        <v>412</v>
      </c>
      <c r="D291" s="148" t="s">
        <v>239</v>
      </c>
      <c r="E291" s="148">
        <v>1704927.467492271</v>
      </c>
      <c r="F291" t="s">
        <v>249</v>
      </c>
      <c r="G291"/>
    </row>
    <row r="292" spans="1:7" ht="15.75">
      <c r="A292" t="str">
        <f t="shared" si="4"/>
        <v>BournensMazoutCHAUFF</v>
      </c>
      <c r="B292" s="148">
        <v>5472</v>
      </c>
      <c r="C292" s="148" t="s">
        <v>412</v>
      </c>
      <c r="D292" s="148" t="s">
        <v>70</v>
      </c>
      <c r="E292" s="148">
        <v>1053492.2352941101</v>
      </c>
      <c r="F292" t="s">
        <v>249</v>
      </c>
      <c r="G292"/>
    </row>
    <row r="293" spans="1:7" ht="15.75">
      <c r="A293" t="str">
        <f t="shared" si="4"/>
        <v>BournensNon renseignéCHAUFF</v>
      </c>
      <c r="B293" s="148">
        <v>5472</v>
      </c>
      <c r="C293" s="148" t="s">
        <v>412</v>
      </c>
      <c r="D293" s="148" t="s">
        <v>696</v>
      </c>
      <c r="E293" s="148">
        <v>0</v>
      </c>
      <c r="F293" t="s">
        <v>249</v>
      </c>
      <c r="G293"/>
    </row>
    <row r="294" spans="1:7" ht="15.75">
      <c r="A294" t="str">
        <f t="shared" si="4"/>
        <v>BournensPACCHAUFF</v>
      </c>
      <c r="B294" s="148">
        <v>5472</v>
      </c>
      <c r="C294" s="148" t="s">
        <v>412</v>
      </c>
      <c r="D294" s="148" t="s">
        <v>69</v>
      </c>
      <c r="E294" s="148">
        <v>177513.20368293999</v>
      </c>
      <c r="F294" t="s">
        <v>249</v>
      </c>
      <c r="G294"/>
    </row>
    <row r="295" spans="1:7" ht="15.75">
      <c r="A295" t="str">
        <f t="shared" si="4"/>
        <v>BournensSolaireCHAUFF</v>
      </c>
      <c r="B295" s="148">
        <v>5472</v>
      </c>
      <c r="C295" s="148" t="s">
        <v>412</v>
      </c>
      <c r="D295" s="148" t="s">
        <v>240</v>
      </c>
      <c r="E295" s="148" t="e">
        <v>#N/A</v>
      </c>
      <c r="F295" t="s">
        <v>249</v>
      </c>
      <c r="G295"/>
    </row>
    <row r="296" spans="1:7" ht="15.75">
      <c r="A296" t="str">
        <f t="shared" si="4"/>
        <v>BoussensBoisCHAUFF</v>
      </c>
      <c r="B296" s="148">
        <v>5473</v>
      </c>
      <c r="C296" s="148" t="s">
        <v>413</v>
      </c>
      <c r="D296" s="148" t="s">
        <v>66</v>
      </c>
      <c r="E296" s="148">
        <v>475346.43137255003</v>
      </c>
      <c r="F296" t="s">
        <v>249</v>
      </c>
      <c r="G296"/>
    </row>
    <row r="297" spans="1:7" ht="15.75">
      <c r="A297" t="str">
        <f t="shared" si="4"/>
        <v>BoussensElectricitéCHAUFF</v>
      </c>
      <c r="B297" s="148">
        <v>5473</v>
      </c>
      <c r="C297" s="148" t="s">
        <v>413</v>
      </c>
      <c r="D297" s="148" t="s">
        <v>97</v>
      </c>
      <c r="E297" s="148">
        <v>1105766.7204301199</v>
      </c>
      <c r="F297" t="s">
        <v>249</v>
      </c>
      <c r="G297"/>
    </row>
    <row r="298" spans="1:7" ht="15.75">
      <c r="A298" t="str">
        <f t="shared" si="4"/>
        <v>BoussensGazCHAUFF</v>
      </c>
      <c r="B298" s="148">
        <v>5473</v>
      </c>
      <c r="C298" s="148" t="s">
        <v>413</v>
      </c>
      <c r="D298" s="148" t="s">
        <v>239</v>
      </c>
      <c r="E298" s="148">
        <v>4738545.935603708</v>
      </c>
      <c r="F298" t="s">
        <v>249</v>
      </c>
      <c r="G298"/>
    </row>
    <row r="299" spans="1:7" ht="15.75">
      <c r="A299" t="str">
        <f t="shared" si="4"/>
        <v>BoussensMazoutCHAUFF</v>
      </c>
      <c r="B299" s="148">
        <v>5473</v>
      </c>
      <c r="C299" s="148" t="s">
        <v>413</v>
      </c>
      <c r="D299" s="148" t="s">
        <v>70</v>
      </c>
      <c r="E299" s="148">
        <v>2787853.4117647097</v>
      </c>
      <c r="F299" t="s">
        <v>249</v>
      </c>
      <c r="G299"/>
    </row>
    <row r="300" spans="1:7" ht="15.75">
      <c r="A300" t="str">
        <f t="shared" si="4"/>
        <v>BoussensNon renseignéCHAUFF</v>
      </c>
      <c r="B300" s="148">
        <v>5473</v>
      </c>
      <c r="C300" s="148" t="s">
        <v>413</v>
      </c>
      <c r="D300" s="148" t="s">
        <v>696</v>
      </c>
      <c r="E300" s="148">
        <v>0</v>
      </c>
      <c r="F300" t="s">
        <v>249</v>
      </c>
      <c r="G300"/>
    </row>
    <row r="301" spans="1:7" ht="15.75">
      <c r="A301" t="str">
        <f t="shared" si="4"/>
        <v>BoussensPACCHAUFF</v>
      </c>
      <c r="B301" s="148">
        <v>5473</v>
      </c>
      <c r="C301" s="148" t="s">
        <v>413</v>
      </c>
      <c r="D301" s="148" t="s">
        <v>69</v>
      </c>
      <c r="E301" s="148">
        <v>119049.93596176</v>
      </c>
      <c r="F301" t="s">
        <v>249</v>
      </c>
      <c r="G301"/>
    </row>
    <row r="302" spans="1:7" ht="15.75">
      <c r="A302" t="str">
        <f t="shared" si="4"/>
        <v>BoussensSolaireCHAUFF</v>
      </c>
      <c r="B302" s="148">
        <v>5473</v>
      </c>
      <c r="C302" s="148" t="s">
        <v>413</v>
      </c>
      <c r="D302" s="148" t="s">
        <v>240</v>
      </c>
      <c r="E302" s="148">
        <v>4980</v>
      </c>
      <c r="F302" t="s">
        <v>249</v>
      </c>
      <c r="G302"/>
    </row>
    <row r="303" spans="1:7" ht="15.75">
      <c r="A303" t="str">
        <f t="shared" si="4"/>
        <v>BremblensElectricitéCHAUFF</v>
      </c>
      <c r="B303" s="148">
        <v>5622</v>
      </c>
      <c r="C303" s="148" t="s">
        <v>414</v>
      </c>
      <c r="D303" s="148" t="s">
        <v>97</v>
      </c>
      <c r="E303" s="148">
        <v>932100.64516128006</v>
      </c>
      <c r="F303" t="s">
        <v>249</v>
      </c>
      <c r="G303"/>
    </row>
    <row r="304" spans="1:7" ht="15.75">
      <c r="A304" t="str">
        <f t="shared" si="4"/>
        <v>BremblensGazCHAUFF</v>
      </c>
      <c r="B304" s="148">
        <v>5622</v>
      </c>
      <c r="C304" s="148" t="s">
        <v>414</v>
      </c>
      <c r="D304" s="148" t="s">
        <v>239</v>
      </c>
      <c r="E304" s="148">
        <v>3296467.3473684289</v>
      </c>
      <c r="F304" t="s">
        <v>249</v>
      </c>
      <c r="G304"/>
    </row>
    <row r="305" spans="1:7" ht="15.75">
      <c r="A305" t="str">
        <f t="shared" si="4"/>
        <v>BremblensMazoutCHAUFF</v>
      </c>
      <c r="B305" s="148">
        <v>5622</v>
      </c>
      <c r="C305" s="148" t="s">
        <v>414</v>
      </c>
      <c r="D305" s="148" t="s">
        <v>70</v>
      </c>
      <c r="E305" s="148">
        <v>2059072.6470587798</v>
      </c>
      <c r="F305" t="s">
        <v>249</v>
      </c>
      <c r="G305"/>
    </row>
    <row r="306" spans="1:7" ht="15.75">
      <c r="A306" t="str">
        <f t="shared" si="4"/>
        <v>BremblensNon renseignéCHAUFF</v>
      </c>
      <c r="B306" s="148">
        <v>5622</v>
      </c>
      <c r="C306" s="148" t="s">
        <v>414</v>
      </c>
      <c r="D306" s="148" t="s">
        <v>696</v>
      </c>
      <c r="E306" s="148">
        <v>0</v>
      </c>
      <c r="F306" t="s">
        <v>249</v>
      </c>
      <c r="G306"/>
    </row>
    <row r="307" spans="1:7" ht="15.75">
      <c r="A307" t="str">
        <f t="shared" si="4"/>
        <v>BremblensPACCHAUFF</v>
      </c>
      <c r="B307" s="148">
        <v>5622</v>
      </c>
      <c r="C307" s="148" t="s">
        <v>414</v>
      </c>
      <c r="D307" s="148" t="s">
        <v>69</v>
      </c>
      <c r="E307" s="148">
        <v>65340.991117339996</v>
      </c>
      <c r="F307" t="s">
        <v>249</v>
      </c>
      <c r="G307"/>
    </row>
    <row r="308" spans="1:7" ht="15.75">
      <c r="A308" t="str">
        <f t="shared" si="4"/>
        <v>BremblensSolaireCHAUFF</v>
      </c>
      <c r="B308" s="148">
        <v>5622</v>
      </c>
      <c r="C308" s="148" t="s">
        <v>414</v>
      </c>
      <c r="D308" s="148" t="s">
        <v>240</v>
      </c>
      <c r="E308" s="148" t="e">
        <v>#N/A</v>
      </c>
      <c r="F308" t="s">
        <v>249</v>
      </c>
      <c r="G308"/>
    </row>
    <row r="309" spans="1:7" ht="15.75">
      <c r="A309" t="str">
        <f t="shared" si="4"/>
        <v>Bretigny-sur-MorrensAutre agent énergétiqueCHAUFF</v>
      </c>
      <c r="B309" s="148">
        <v>5515</v>
      </c>
      <c r="C309" s="148" t="s">
        <v>665</v>
      </c>
      <c r="D309" s="148" t="s">
        <v>245</v>
      </c>
      <c r="E309" s="148" t="e">
        <v>#N/A</v>
      </c>
      <c r="F309" t="s">
        <v>249</v>
      </c>
      <c r="G309"/>
    </row>
    <row r="310" spans="1:7" ht="15.75">
      <c r="A310" t="str">
        <f t="shared" si="4"/>
        <v>Bretigny-sur-MorrensBoisCHAUFF</v>
      </c>
      <c r="B310" s="148">
        <v>5515</v>
      </c>
      <c r="C310" s="148" t="s">
        <v>665</v>
      </c>
      <c r="D310" s="148" t="s">
        <v>66</v>
      </c>
      <c r="E310" s="148">
        <v>427754.45490195992</v>
      </c>
      <c r="F310" t="s">
        <v>249</v>
      </c>
      <c r="G310"/>
    </row>
    <row r="311" spans="1:7" ht="15.75">
      <c r="A311" t="str">
        <f t="shared" si="4"/>
        <v>Bretigny-sur-MorrensCADCHAUFF</v>
      </c>
      <c r="B311" s="148">
        <v>5515</v>
      </c>
      <c r="C311" s="148" t="s">
        <v>665</v>
      </c>
      <c r="D311" s="148" t="s">
        <v>242</v>
      </c>
      <c r="E311" s="148">
        <v>9768</v>
      </c>
      <c r="F311" t="s">
        <v>249</v>
      </c>
      <c r="G311"/>
    </row>
    <row r="312" spans="1:7" ht="15.75">
      <c r="A312" t="str">
        <f t="shared" si="4"/>
        <v>Bretigny-sur-MorrensElectricitéCHAUFF</v>
      </c>
      <c r="B312" s="148">
        <v>5515</v>
      </c>
      <c r="C312" s="148" t="s">
        <v>665</v>
      </c>
      <c r="D312" s="148" t="s">
        <v>97</v>
      </c>
      <c r="E312" s="148">
        <v>940952.57685010007</v>
      </c>
      <c r="F312" t="s">
        <v>249</v>
      </c>
      <c r="G312"/>
    </row>
    <row r="313" spans="1:7" ht="15.75">
      <c r="A313" t="str">
        <f t="shared" si="4"/>
        <v>Bretigny-sur-MorrensGazCHAUFF</v>
      </c>
      <c r="B313" s="148">
        <v>5515</v>
      </c>
      <c r="C313" s="148" t="s">
        <v>665</v>
      </c>
      <c r="D313" s="148" t="s">
        <v>239</v>
      </c>
      <c r="E313" s="148">
        <v>2814079.3560371706</v>
      </c>
      <c r="F313" t="s">
        <v>249</v>
      </c>
      <c r="G313"/>
    </row>
    <row r="314" spans="1:7" ht="15.75">
      <c r="A314" t="str">
        <f t="shared" si="4"/>
        <v>Bretigny-sur-MorrensMazoutCHAUFF</v>
      </c>
      <c r="B314" s="148">
        <v>5515</v>
      </c>
      <c r="C314" s="148" t="s">
        <v>665</v>
      </c>
      <c r="D314" s="148" t="s">
        <v>70</v>
      </c>
      <c r="E314" s="148">
        <v>3736105.1764705991</v>
      </c>
      <c r="F314" t="s">
        <v>249</v>
      </c>
      <c r="G314"/>
    </row>
    <row r="315" spans="1:7" ht="15.75">
      <c r="A315" t="str">
        <f t="shared" si="4"/>
        <v>Bretigny-sur-MorrensNon renseignéCHAUFF</v>
      </c>
      <c r="B315" s="148">
        <v>5515</v>
      </c>
      <c r="C315" s="148" t="s">
        <v>665</v>
      </c>
      <c r="D315" s="148" t="s">
        <v>696</v>
      </c>
      <c r="E315" s="148">
        <v>0</v>
      </c>
      <c r="F315" t="s">
        <v>249</v>
      </c>
      <c r="G315"/>
    </row>
    <row r="316" spans="1:7" ht="15.75">
      <c r="A316" t="str">
        <f t="shared" si="4"/>
        <v>Bretigny-sur-MorrensPACCHAUFF</v>
      </c>
      <c r="B316" s="148">
        <v>5515</v>
      </c>
      <c r="C316" s="148" t="s">
        <v>665</v>
      </c>
      <c r="D316" s="148" t="s">
        <v>69</v>
      </c>
      <c r="E316" s="148">
        <v>252086.30107528</v>
      </c>
      <c r="F316" t="s">
        <v>249</v>
      </c>
      <c r="G316"/>
    </row>
    <row r="317" spans="1:7" ht="15.75">
      <c r="A317" t="str">
        <f t="shared" si="4"/>
        <v>Bretigny-sur-MorrensSolaireCHAUFF</v>
      </c>
      <c r="B317" s="148">
        <v>5515</v>
      </c>
      <c r="C317" s="148" t="s">
        <v>665</v>
      </c>
      <c r="D317" s="148" t="s">
        <v>240</v>
      </c>
      <c r="E317" s="148" t="e">
        <v>#N/A</v>
      </c>
      <c r="F317" t="s">
        <v>249</v>
      </c>
      <c r="G317"/>
    </row>
    <row r="318" spans="1:7" ht="15.75">
      <c r="A318" t="str">
        <f t="shared" si="4"/>
        <v>BretonnièresBoisCHAUFF</v>
      </c>
      <c r="B318" s="148">
        <v>5748</v>
      </c>
      <c r="C318" s="148" t="s">
        <v>664</v>
      </c>
      <c r="D318" s="148" t="s">
        <v>66</v>
      </c>
      <c r="E318" s="148">
        <v>940237.13882354996</v>
      </c>
      <c r="F318" t="s">
        <v>249</v>
      </c>
      <c r="G318"/>
    </row>
    <row r="319" spans="1:7" ht="15.75">
      <c r="A319" t="str">
        <f t="shared" si="4"/>
        <v>BretonnièresElectricitéCHAUFF</v>
      </c>
      <c r="B319" s="148">
        <v>5748</v>
      </c>
      <c r="C319" s="148" t="s">
        <v>664</v>
      </c>
      <c r="D319" s="148" t="s">
        <v>97</v>
      </c>
      <c r="E319" s="148">
        <v>278201.46236557997</v>
      </c>
      <c r="F319" t="s">
        <v>249</v>
      </c>
      <c r="G319"/>
    </row>
    <row r="320" spans="1:7" ht="15.75">
      <c r="A320" t="str">
        <f t="shared" si="4"/>
        <v>BretonnièresMazoutCHAUFF</v>
      </c>
      <c r="B320" s="148">
        <v>5748</v>
      </c>
      <c r="C320" s="148" t="s">
        <v>664</v>
      </c>
      <c r="D320" s="148" t="s">
        <v>70</v>
      </c>
      <c r="E320" s="148">
        <v>1789434.0176470201</v>
      </c>
      <c r="F320" t="s">
        <v>249</v>
      </c>
      <c r="G320"/>
    </row>
    <row r="321" spans="1:7" ht="15.75">
      <c r="A321" t="str">
        <f t="shared" si="4"/>
        <v>BretonnièresNon renseignéCHAUFF</v>
      </c>
      <c r="B321" s="148">
        <v>5748</v>
      </c>
      <c r="C321" s="148" t="s">
        <v>664</v>
      </c>
      <c r="D321" s="148" t="s">
        <v>696</v>
      </c>
      <c r="E321" s="148">
        <v>0</v>
      </c>
      <c r="F321" t="s">
        <v>249</v>
      </c>
      <c r="G321"/>
    </row>
    <row r="322" spans="1:7" ht="15.75">
      <c r="A322" t="str">
        <f t="shared" si="4"/>
        <v>BretonnièresPACCHAUFF</v>
      </c>
      <c r="B322" s="148">
        <v>5748</v>
      </c>
      <c r="C322" s="148" t="s">
        <v>664</v>
      </c>
      <c r="D322" s="148" t="s">
        <v>69</v>
      </c>
      <c r="E322" s="148">
        <v>136900.26559138999</v>
      </c>
      <c r="F322" t="s">
        <v>249</v>
      </c>
      <c r="G322"/>
    </row>
    <row r="323" spans="1:7" ht="15.75">
      <c r="A323" t="str">
        <f t="shared" ref="A323:A386" si="5">_xlfn.CONCAT(C323,D323,F323)</f>
        <v>BretonnièresSolaireCHAUFF</v>
      </c>
      <c r="B323" s="148">
        <v>5748</v>
      </c>
      <c r="C323" s="148" t="s">
        <v>664</v>
      </c>
      <c r="D323" s="148" t="s">
        <v>240</v>
      </c>
      <c r="E323" s="148">
        <v>19536</v>
      </c>
      <c r="F323" t="s">
        <v>249</v>
      </c>
      <c r="G323"/>
    </row>
    <row r="324" spans="1:7" ht="15.75">
      <c r="A324" t="str">
        <f t="shared" si="5"/>
        <v>BuchillonBoisCHAUFF</v>
      </c>
      <c r="B324" s="148">
        <v>5623</v>
      </c>
      <c r="C324" s="148" t="s">
        <v>415</v>
      </c>
      <c r="D324" s="148" t="s">
        <v>66</v>
      </c>
      <c r="E324" s="148">
        <v>123370.41568628</v>
      </c>
      <c r="F324" t="s">
        <v>249</v>
      </c>
      <c r="G324"/>
    </row>
    <row r="325" spans="1:7" ht="15.75">
      <c r="A325" t="str">
        <f t="shared" si="5"/>
        <v>BuchillonCADCHAUFF</v>
      </c>
      <c r="B325" s="148">
        <v>5623</v>
      </c>
      <c r="C325" s="148" t="s">
        <v>415</v>
      </c>
      <c r="D325" s="148" t="s">
        <v>242</v>
      </c>
      <c r="E325" s="148">
        <v>101642.40000000001</v>
      </c>
      <c r="F325" t="s">
        <v>249</v>
      </c>
      <c r="G325"/>
    </row>
    <row r="326" spans="1:7" ht="15.75">
      <c r="A326" t="str">
        <f t="shared" si="5"/>
        <v>BuchillonElectricitéCHAUFF</v>
      </c>
      <c r="B326" s="148">
        <v>5623</v>
      </c>
      <c r="C326" s="148" t="s">
        <v>415</v>
      </c>
      <c r="D326" s="148" t="s">
        <v>97</v>
      </c>
      <c r="E326" s="148">
        <v>711974.40860218019</v>
      </c>
      <c r="F326" t="s">
        <v>249</v>
      </c>
      <c r="G326"/>
    </row>
    <row r="327" spans="1:7" ht="15.75">
      <c r="A327" t="str">
        <f t="shared" si="5"/>
        <v>BuchillonGazCHAUFF</v>
      </c>
      <c r="B327" s="148">
        <v>5623</v>
      </c>
      <c r="C327" s="148" t="s">
        <v>415</v>
      </c>
      <c r="D327" s="148" t="s">
        <v>239</v>
      </c>
      <c r="E327" s="148">
        <v>3837299.7801857409</v>
      </c>
      <c r="F327" t="s">
        <v>249</v>
      </c>
      <c r="G327"/>
    </row>
    <row r="328" spans="1:7" ht="15.75">
      <c r="A328" t="str">
        <f t="shared" si="5"/>
        <v>BuchillonMazoutCHAUFF</v>
      </c>
      <c r="B328" s="148">
        <v>5623</v>
      </c>
      <c r="C328" s="148" t="s">
        <v>415</v>
      </c>
      <c r="D328" s="148" t="s">
        <v>70</v>
      </c>
      <c r="E328" s="148">
        <v>3053737.682352941</v>
      </c>
      <c r="F328" t="s">
        <v>249</v>
      </c>
      <c r="G328"/>
    </row>
    <row r="329" spans="1:7" ht="15.75">
      <c r="A329" t="str">
        <f t="shared" si="5"/>
        <v>BuchillonNon renseignéCHAUFF</v>
      </c>
      <c r="B329" s="148">
        <v>5623</v>
      </c>
      <c r="C329" s="148" t="s">
        <v>415</v>
      </c>
      <c r="D329" s="148" t="s">
        <v>696</v>
      </c>
      <c r="E329" s="148">
        <v>0</v>
      </c>
      <c r="F329" t="s">
        <v>249</v>
      </c>
      <c r="G329"/>
    </row>
    <row r="330" spans="1:7" ht="15.75">
      <c r="A330" t="str">
        <f t="shared" si="5"/>
        <v>BuchillonPACCHAUFF</v>
      </c>
      <c r="B330" s="148">
        <v>5623</v>
      </c>
      <c r="C330" s="148" t="s">
        <v>415</v>
      </c>
      <c r="D330" s="148" t="s">
        <v>69</v>
      </c>
      <c r="E330" s="148">
        <v>439439.84503268998</v>
      </c>
      <c r="F330" t="s">
        <v>249</v>
      </c>
      <c r="G330"/>
    </row>
    <row r="331" spans="1:7" ht="15.75">
      <c r="A331" t="str">
        <f t="shared" si="5"/>
        <v>BuchillonSolaireCHAUFF</v>
      </c>
      <c r="B331" s="148">
        <v>5623</v>
      </c>
      <c r="C331" s="148" t="s">
        <v>415</v>
      </c>
      <c r="D331" s="148" t="s">
        <v>240</v>
      </c>
      <c r="E331" s="148" t="e">
        <v>#N/A</v>
      </c>
      <c r="F331" t="s">
        <v>249</v>
      </c>
      <c r="G331"/>
    </row>
    <row r="332" spans="1:7" ht="15.75">
      <c r="A332" t="str">
        <f t="shared" si="5"/>
        <v>BulletAutre agent énergétiqueCHAUFF</v>
      </c>
      <c r="B332" s="148">
        <v>5552</v>
      </c>
      <c r="C332" s="148" t="s">
        <v>416</v>
      </c>
      <c r="D332" s="148" t="s">
        <v>245</v>
      </c>
      <c r="E332" s="148">
        <v>35654.117647060004</v>
      </c>
      <c r="F332" t="s">
        <v>249</v>
      </c>
      <c r="G332"/>
    </row>
    <row r="333" spans="1:7" ht="15.75">
      <c r="A333" t="str">
        <f t="shared" si="5"/>
        <v>BulletBoisCHAUFF</v>
      </c>
      <c r="B333" s="148">
        <v>5552</v>
      </c>
      <c r="C333" s="148" t="s">
        <v>416</v>
      </c>
      <c r="D333" s="148" t="s">
        <v>66</v>
      </c>
      <c r="E333" s="148">
        <v>3740827.614901931</v>
      </c>
      <c r="F333" t="s">
        <v>249</v>
      </c>
      <c r="G333"/>
    </row>
    <row r="334" spans="1:7" ht="15.75">
      <c r="A334" t="str">
        <f t="shared" si="5"/>
        <v>BulletCADCHAUFF</v>
      </c>
      <c r="B334" s="148">
        <v>5552</v>
      </c>
      <c r="C334" s="148" t="s">
        <v>416</v>
      </c>
      <c r="D334" s="148" t="s">
        <v>242</v>
      </c>
      <c r="E334" s="148">
        <v>3168</v>
      </c>
      <c r="F334" t="s">
        <v>249</v>
      </c>
      <c r="G334"/>
    </row>
    <row r="335" spans="1:7" ht="15.75">
      <c r="A335" t="str">
        <f t="shared" si="5"/>
        <v>BulletElectricitéCHAUFF</v>
      </c>
      <c r="B335" s="148">
        <v>5552</v>
      </c>
      <c r="C335" s="148" t="s">
        <v>416</v>
      </c>
      <c r="D335" s="148" t="s">
        <v>97</v>
      </c>
      <c r="E335" s="148">
        <v>1670907.2043011007</v>
      </c>
      <c r="F335" t="s">
        <v>249</v>
      </c>
      <c r="G335"/>
    </row>
    <row r="336" spans="1:7" ht="15.75">
      <c r="A336" t="str">
        <f t="shared" si="5"/>
        <v>BulletGazCHAUFF</v>
      </c>
      <c r="B336" s="148">
        <v>5552</v>
      </c>
      <c r="C336" s="148" t="s">
        <v>416</v>
      </c>
      <c r="D336" s="148" t="s">
        <v>239</v>
      </c>
      <c r="E336" s="148">
        <v>117815.65325077</v>
      </c>
      <c r="F336" t="s">
        <v>249</v>
      </c>
      <c r="G336"/>
    </row>
    <row r="337" spans="1:7" ht="15.75">
      <c r="A337" t="str">
        <f t="shared" si="5"/>
        <v>BulletMazoutCHAUFF</v>
      </c>
      <c r="B337" s="148">
        <v>5552</v>
      </c>
      <c r="C337" s="148" t="s">
        <v>416</v>
      </c>
      <c r="D337" s="148" t="s">
        <v>70</v>
      </c>
      <c r="E337" s="148">
        <v>8707344.4117647074</v>
      </c>
      <c r="F337" t="s">
        <v>249</v>
      </c>
      <c r="G337"/>
    </row>
    <row r="338" spans="1:7" ht="15.75">
      <c r="A338" t="str">
        <f t="shared" si="5"/>
        <v>BulletNon renseignéCHAUFF</v>
      </c>
      <c r="B338" s="148">
        <v>5552</v>
      </c>
      <c r="C338" s="148" t="s">
        <v>416</v>
      </c>
      <c r="D338" s="148" t="s">
        <v>696</v>
      </c>
      <c r="E338" s="148">
        <v>0</v>
      </c>
      <c r="F338" t="s">
        <v>249</v>
      </c>
      <c r="G338"/>
    </row>
    <row r="339" spans="1:7" ht="15.75">
      <c r="A339" t="str">
        <f t="shared" si="5"/>
        <v>BulletPACCHAUFF</v>
      </c>
      <c r="B339" s="148">
        <v>5552</v>
      </c>
      <c r="C339" s="148" t="s">
        <v>416</v>
      </c>
      <c r="D339" s="148" t="s">
        <v>69</v>
      </c>
      <c r="E339" s="148">
        <v>113384.56391875999</v>
      </c>
      <c r="F339" t="s">
        <v>249</v>
      </c>
      <c r="G339"/>
    </row>
    <row r="340" spans="1:7" ht="15.75">
      <c r="A340" t="str">
        <f t="shared" si="5"/>
        <v>BulletSolaireCHAUFF</v>
      </c>
      <c r="B340" s="148">
        <v>5552</v>
      </c>
      <c r="C340" s="148" t="s">
        <v>416</v>
      </c>
      <c r="D340" s="148" t="s">
        <v>240</v>
      </c>
      <c r="E340" s="148">
        <v>16420</v>
      </c>
      <c r="F340" t="s">
        <v>249</v>
      </c>
      <c r="G340"/>
    </row>
    <row r="341" spans="1:7" ht="15.75">
      <c r="A341" t="str">
        <f t="shared" si="5"/>
        <v>BursinelBoisCHAUFF</v>
      </c>
      <c r="B341" s="148">
        <v>5852</v>
      </c>
      <c r="C341" s="148" t="s">
        <v>417</v>
      </c>
      <c r="D341" s="148" t="s">
        <v>66</v>
      </c>
      <c r="E341" s="148">
        <v>956583.02745098015</v>
      </c>
      <c r="F341" t="s">
        <v>249</v>
      </c>
      <c r="G341"/>
    </row>
    <row r="342" spans="1:7" ht="15.75">
      <c r="A342" t="str">
        <f t="shared" si="5"/>
        <v>BursinelElectricitéCHAUFF</v>
      </c>
      <c r="B342" s="148">
        <v>5852</v>
      </c>
      <c r="C342" s="148" t="s">
        <v>417</v>
      </c>
      <c r="D342" s="148" t="s">
        <v>97</v>
      </c>
      <c r="E342" s="148">
        <v>1065511.8279569899</v>
      </c>
      <c r="F342" t="s">
        <v>249</v>
      </c>
      <c r="G342"/>
    </row>
    <row r="343" spans="1:7" ht="15.75">
      <c r="A343" t="str">
        <f t="shared" si="5"/>
        <v>BursinelMazoutCHAUFF</v>
      </c>
      <c r="B343" s="148">
        <v>5852</v>
      </c>
      <c r="C343" s="148" t="s">
        <v>417</v>
      </c>
      <c r="D343" s="148" t="s">
        <v>70</v>
      </c>
      <c r="E343" s="148">
        <v>4244718.4705882091</v>
      </c>
      <c r="F343" t="s">
        <v>249</v>
      </c>
      <c r="G343"/>
    </row>
    <row r="344" spans="1:7" ht="15.75">
      <c r="A344" t="str">
        <f t="shared" si="5"/>
        <v>BursinelNon renseignéCHAUFF</v>
      </c>
      <c r="B344" s="148">
        <v>5852</v>
      </c>
      <c r="C344" s="148" t="s">
        <v>417</v>
      </c>
      <c r="D344" s="148" t="s">
        <v>696</v>
      </c>
      <c r="E344" s="148" t="e">
        <v>#N/A</v>
      </c>
      <c r="F344" t="s">
        <v>249</v>
      </c>
      <c r="G344"/>
    </row>
    <row r="345" spans="1:7" ht="15.75">
      <c r="A345" t="str">
        <f t="shared" si="5"/>
        <v>BursinelPACCHAUFF</v>
      </c>
      <c r="B345" s="148">
        <v>5852</v>
      </c>
      <c r="C345" s="148" t="s">
        <v>417</v>
      </c>
      <c r="D345" s="148" t="s">
        <v>69</v>
      </c>
      <c r="E345" s="148">
        <v>54677.703703699997</v>
      </c>
      <c r="F345" t="s">
        <v>249</v>
      </c>
      <c r="G345"/>
    </row>
    <row r="346" spans="1:7" ht="15.75">
      <c r="A346" t="str">
        <f t="shared" si="5"/>
        <v>BursinelSolaireCHAUFF</v>
      </c>
      <c r="B346" s="148">
        <v>5852</v>
      </c>
      <c r="C346" s="148" t="s">
        <v>417</v>
      </c>
      <c r="D346" s="148" t="s">
        <v>240</v>
      </c>
      <c r="E346" s="148" t="e">
        <v>#N/A</v>
      </c>
      <c r="F346" t="s">
        <v>249</v>
      </c>
      <c r="G346"/>
    </row>
    <row r="347" spans="1:7" ht="15.75">
      <c r="A347" t="str">
        <f t="shared" si="5"/>
        <v>BursinsBoisCHAUFF</v>
      </c>
      <c r="B347" s="148">
        <v>5853</v>
      </c>
      <c r="C347" s="148" t="s">
        <v>418</v>
      </c>
      <c r="D347" s="148" t="s">
        <v>66</v>
      </c>
      <c r="E347" s="148">
        <v>161826.18039215001</v>
      </c>
      <c r="F347" t="s">
        <v>249</v>
      </c>
      <c r="G347"/>
    </row>
    <row r="348" spans="1:7" ht="15.75">
      <c r="A348" t="str">
        <f t="shared" si="5"/>
        <v>BursinsElectricitéCHAUFF</v>
      </c>
      <c r="B348" s="148">
        <v>5853</v>
      </c>
      <c r="C348" s="148" t="s">
        <v>418</v>
      </c>
      <c r="D348" s="148" t="s">
        <v>97</v>
      </c>
      <c r="E348" s="148">
        <v>749390.53763440996</v>
      </c>
      <c r="F348" t="s">
        <v>249</v>
      </c>
      <c r="G348"/>
    </row>
    <row r="349" spans="1:7" ht="15.75">
      <c r="A349" t="str">
        <f t="shared" si="5"/>
        <v>BursinsGazCHAUFF</v>
      </c>
      <c r="B349" s="148">
        <v>5853</v>
      </c>
      <c r="C349" s="148" t="s">
        <v>418</v>
      </c>
      <c r="D349" s="148" t="s">
        <v>239</v>
      </c>
      <c r="E349" s="148">
        <v>4088640.8173374692</v>
      </c>
      <c r="F349" t="s">
        <v>249</v>
      </c>
      <c r="G349"/>
    </row>
    <row r="350" spans="1:7" ht="15.75">
      <c r="A350" t="str">
        <f t="shared" si="5"/>
        <v>BursinsMazoutCHAUFF</v>
      </c>
      <c r="B350" s="148">
        <v>5853</v>
      </c>
      <c r="C350" s="148" t="s">
        <v>418</v>
      </c>
      <c r="D350" s="148" t="s">
        <v>70</v>
      </c>
      <c r="E350" s="148">
        <v>3214506.6322580804</v>
      </c>
      <c r="F350" t="s">
        <v>249</v>
      </c>
      <c r="G350"/>
    </row>
    <row r="351" spans="1:7" ht="15.75">
      <c r="A351" t="str">
        <f t="shared" si="5"/>
        <v>BursinsNon renseignéCHAUFF</v>
      </c>
      <c r="B351" s="148">
        <v>5853</v>
      </c>
      <c r="C351" s="148" t="s">
        <v>418</v>
      </c>
      <c r="D351" s="148" t="s">
        <v>696</v>
      </c>
      <c r="E351" s="148" t="e">
        <v>#N/A</v>
      </c>
      <c r="F351" t="s">
        <v>249</v>
      </c>
      <c r="G351"/>
    </row>
    <row r="352" spans="1:7" ht="15.75">
      <c r="A352" t="str">
        <f t="shared" si="5"/>
        <v>BursinsPACCHAUFF</v>
      </c>
      <c r="B352" s="148">
        <v>5853</v>
      </c>
      <c r="C352" s="148" t="s">
        <v>418</v>
      </c>
      <c r="D352" s="148" t="s">
        <v>69</v>
      </c>
      <c r="E352" s="148">
        <v>264016.96586419002</v>
      </c>
      <c r="F352" t="s">
        <v>249</v>
      </c>
      <c r="G352"/>
    </row>
    <row r="353" spans="1:7" ht="15.75">
      <c r="A353" t="str">
        <f t="shared" si="5"/>
        <v>BursinsSolaireCHAUFF</v>
      </c>
      <c r="B353" s="148">
        <v>5853</v>
      </c>
      <c r="C353" s="148" t="s">
        <v>418</v>
      </c>
      <c r="D353" s="148" t="s">
        <v>240</v>
      </c>
      <c r="E353" s="148">
        <v>13024</v>
      </c>
      <c r="F353" t="s">
        <v>249</v>
      </c>
      <c r="G353"/>
    </row>
    <row r="354" spans="1:7" ht="15.75">
      <c r="A354" t="str">
        <f t="shared" si="5"/>
        <v>BurtignyBoisCHAUFF</v>
      </c>
      <c r="B354" s="148">
        <v>5854</v>
      </c>
      <c r="C354" s="148" t="s">
        <v>419</v>
      </c>
      <c r="D354" s="148" t="s">
        <v>66</v>
      </c>
      <c r="E354" s="148">
        <v>689239.16705882014</v>
      </c>
      <c r="F354" t="s">
        <v>249</v>
      </c>
      <c r="G354"/>
    </row>
    <row r="355" spans="1:7" ht="15.75">
      <c r="A355" t="str">
        <f t="shared" si="5"/>
        <v>BurtignyCADCHAUFF</v>
      </c>
      <c r="B355" s="148">
        <v>5854</v>
      </c>
      <c r="C355" s="148" t="s">
        <v>419</v>
      </c>
      <c r="D355" s="148" t="s">
        <v>242</v>
      </c>
      <c r="E355" s="148">
        <v>2218120.7000000002</v>
      </c>
      <c r="F355" t="s">
        <v>249</v>
      </c>
      <c r="G355"/>
    </row>
    <row r="356" spans="1:7" ht="15.75">
      <c r="A356" t="str">
        <f t="shared" si="5"/>
        <v>BurtignyElectricitéCHAUFF</v>
      </c>
      <c r="B356" s="148">
        <v>5854</v>
      </c>
      <c r="C356" s="148" t="s">
        <v>419</v>
      </c>
      <c r="D356" s="148" t="s">
        <v>97</v>
      </c>
      <c r="E356" s="148">
        <v>524852.47311825992</v>
      </c>
      <c r="F356" t="s">
        <v>249</v>
      </c>
      <c r="G356"/>
    </row>
    <row r="357" spans="1:7" ht="15.75">
      <c r="A357" t="str">
        <f t="shared" si="5"/>
        <v>BurtignyGazCHAUFF</v>
      </c>
      <c r="B357" s="148">
        <v>5854</v>
      </c>
      <c r="C357" s="148" t="s">
        <v>419</v>
      </c>
      <c r="D357" s="148" t="s">
        <v>239</v>
      </c>
      <c r="E357" s="148">
        <v>55494.241486060004</v>
      </c>
      <c r="F357" t="s">
        <v>249</v>
      </c>
      <c r="G357"/>
    </row>
    <row r="358" spans="1:7" ht="15.75">
      <c r="A358" t="str">
        <f t="shared" si="5"/>
        <v>BurtignyMazoutCHAUFF</v>
      </c>
      <c r="B358" s="148">
        <v>5854</v>
      </c>
      <c r="C358" s="148" t="s">
        <v>419</v>
      </c>
      <c r="D358" s="148" t="s">
        <v>70</v>
      </c>
      <c r="E358" s="148">
        <v>1772130.5882353198</v>
      </c>
      <c r="F358" t="s">
        <v>249</v>
      </c>
      <c r="G358"/>
    </row>
    <row r="359" spans="1:7" ht="15.75">
      <c r="A359" t="str">
        <f t="shared" si="5"/>
        <v>BurtignyNon renseignéCHAUFF</v>
      </c>
      <c r="B359" s="148">
        <v>5854</v>
      </c>
      <c r="C359" s="148" t="s">
        <v>419</v>
      </c>
      <c r="D359" s="148" t="s">
        <v>696</v>
      </c>
      <c r="E359" s="148">
        <v>0</v>
      </c>
      <c r="F359" t="s">
        <v>249</v>
      </c>
      <c r="G359"/>
    </row>
    <row r="360" spans="1:7" ht="15.75">
      <c r="A360" t="str">
        <f t="shared" si="5"/>
        <v>BurtignyPACCHAUFF</v>
      </c>
      <c r="B360" s="148">
        <v>5854</v>
      </c>
      <c r="C360" s="148" t="s">
        <v>419</v>
      </c>
      <c r="D360" s="148" t="s">
        <v>69</v>
      </c>
      <c r="E360" s="148">
        <v>35277.27407408</v>
      </c>
      <c r="F360" t="s">
        <v>249</v>
      </c>
      <c r="G360"/>
    </row>
    <row r="361" spans="1:7" ht="15.75">
      <c r="A361" t="str">
        <f t="shared" si="5"/>
        <v>BurtignyAutre agent énergétiqueCHAUFF</v>
      </c>
      <c r="B361" s="148">
        <v>5854</v>
      </c>
      <c r="C361" s="148" t="s">
        <v>419</v>
      </c>
      <c r="D361" s="148" t="s">
        <v>245</v>
      </c>
      <c r="E361" s="148" t="e">
        <v>#N/A</v>
      </c>
      <c r="F361" t="s">
        <v>249</v>
      </c>
      <c r="G361"/>
    </row>
    <row r="362" spans="1:7" ht="15.75">
      <c r="A362" t="str">
        <f t="shared" si="5"/>
        <v>BurtignySolaireCHAUFF</v>
      </c>
      <c r="B362" s="148">
        <v>5854</v>
      </c>
      <c r="C362" s="148" t="s">
        <v>419</v>
      </c>
      <c r="D362" s="148" t="s">
        <v>240</v>
      </c>
      <c r="E362" s="148" t="e">
        <v>#N/A</v>
      </c>
      <c r="F362" t="s">
        <v>249</v>
      </c>
      <c r="G362"/>
    </row>
    <row r="363" spans="1:7" ht="15.75">
      <c r="A363" t="str">
        <f t="shared" si="5"/>
        <v>BussignyAutre agent énergétiqueCHAUFF</v>
      </c>
      <c r="B363" s="148">
        <v>5624</v>
      </c>
      <c r="C363" s="148" t="s">
        <v>420</v>
      </c>
      <c r="D363" s="148" t="s">
        <v>245</v>
      </c>
      <c r="E363" s="148">
        <v>1458.82352941</v>
      </c>
      <c r="F363" t="s">
        <v>249</v>
      </c>
      <c r="G363"/>
    </row>
    <row r="364" spans="1:7" ht="15.75">
      <c r="A364" t="str">
        <f t="shared" si="5"/>
        <v>BussignyBoisCHAUFF</v>
      </c>
      <c r="B364" s="148">
        <v>5624</v>
      </c>
      <c r="C364" s="148" t="s">
        <v>420</v>
      </c>
      <c r="D364" s="148" t="s">
        <v>66</v>
      </c>
      <c r="E364" s="148">
        <v>3803480.1066666804</v>
      </c>
      <c r="F364" t="s">
        <v>249</v>
      </c>
      <c r="G364"/>
    </row>
    <row r="365" spans="1:7" ht="15.75">
      <c r="A365" t="str">
        <f t="shared" si="5"/>
        <v>BussignyCADCHAUFF</v>
      </c>
      <c r="B365" s="148">
        <v>5624</v>
      </c>
      <c r="C365" s="148" t="s">
        <v>420</v>
      </c>
      <c r="D365" s="148" t="s">
        <v>242</v>
      </c>
      <c r="E365" s="148">
        <v>1158347.6000000001</v>
      </c>
      <c r="F365" t="s">
        <v>249</v>
      </c>
      <c r="G365"/>
    </row>
    <row r="366" spans="1:7" ht="15.75">
      <c r="A366" t="str">
        <f t="shared" si="5"/>
        <v>BussignyElectricitéCHAUFF</v>
      </c>
      <c r="B366" s="148">
        <v>5624</v>
      </c>
      <c r="C366" s="148" t="s">
        <v>420</v>
      </c>
      <c r="D366" s="148" t="s">
        <v>97</v>
      </c>
      <c r="E366" s="148">
        <v>5239419.8924729722</v>
      </c>
      <c r="F366" t="s">
        <v>249</v>
      </c>
      <c r="G366"/>
    </row>
    <row r="367" spans="1:7" ht="15.75">
      <c r="A367" t="str">
        <f t="shared" si="5"/>
        <v>BussignyGazCHAUFF</v>
      </c>
      <c r="B367" s="148">
        <v>5624</v>
      </c>
      <c r="C367" s="148" t="s">
        <v>420</v>
      </c>
      <c r="D367" s="148" t="s">
        <v>239</v>
      </c>
      <c r="E367" s="148">
        <v>38282024.856346786</v>
      </c>
      <c r="F367" t="s">
        <v>249</v>
      </c>
      <c r="G367"/>
    </row>
    <row r="368" spans="1:7" ht="15.75">
      <c r="A368" t="str">
        <f t="shared" si="5"/>
        <v>BussignyMazoutCHAUFF</v>
      </c>
      <c r="B368" s="148">
        <v>5624</v>
      </c>
      <c r="C368" s="148" t="s">
        <v>420</v>
      </c>
      <c r="D368" s="148" t="s">
        <v>70</v>
      </c>
      <c r="E368" s="148">
        <v>24476705.658823684</v>
      </c>
      <c r="F368" t="s">
        <v>249</v>
      </c>
      <c r="G368"/>
    </row>
    <row r="369" spans="1:7" ht="15.75">
      <c r="A369" t="str">
        <f t="shared" si="5"/>
        <v>BussignyNon renseignéCHAUFF</v>
      </c>
      <c r="B369" s="148">
        <v>5624</v>
      </c>
      <c r="C369" s="148" t="s">
        <v>420</v>
      </c>
      <c r="D369" s="148" t="s">
        <v>696</v>
      </c>
      <c r="E369" s="148">
        <v>0</v>
      </c>
      <c r="F369" t="s">
        <v>249</v>
      </c>
      <c r="G369"/>
    </row>
    <row r="370" spans="1:7" ht="15.75">
      <c r="A370" t="str">
        <f t="shared" si="5"/>
        <v>BussignyPACCHAUFF</v>
      </c>
      <c r="B370" s="148">
        <v>5624</v>
      </c>
      <c r="C370" s="148" t="s">
        <v>420</v>
      </c>
      <c r="D370" s="148" t="s">
        <v>69</v>
      </c>
      <c r="E370" s="148">
        <v>938930.0864109695</v>
      </c>
      <c r="F370" t="s">
        <v>249</v>
      </c>
      <c r="G370"/>
    </row>
    <row r="371" spans="1:7" ht="15.75">
      <c r="A371" t="str">
        <f t="shared" si="5"/>
        <v>BussignySolaireCHAUFF</v>
      </c>
      <c r="B371" s="148">
        <v>5624</v>
      </c>
      <c r="C371" s="148" t="s">
        <v>420</v>
      </c>
      <c r="D371" s="148" t="s">
        <v>240</v>
      </c>
      <c r="E371" s="148">
        <v>11907.2</v>
      </c>
      <c r="F371" t="s">
        <v>249</v>
      </c>
      <c r="G371"/>
    </row>
    <row r="372" spans="1:7" ht="15.75">
      <c r="A372" t="str">
        <f t="shared" si="5"/>
        <v>Bussy-ChardonneyBoisCHAUFF</v>
      </c>
      <c r="B372" s="148">
        <v>5625</v>
      </c>
      <c r="C372" s="148" t="s">
        <v>421</v>
      </c>
      <c r="D372" s="148" t="s">
        <v>66</v>
      </c>
      <c r="E372" s="148" t="e">
        <v>#N/A</v>
      </c>
      <c r="F372" t="s">
        <v>249</v>
      </c>
      <c r="G372"/>
    </row>
    <row r="373" spans="1:7" ht="15.75">
      <c r="A373" t="str">
        <f t="shared" si="5"/>
        <v>Bussy-ChardonneyElectricitéCHAUFF</v>
      </c>
      <c r="B373" s="148">
        <v>5625</v>
      </c>
      <c r="C373" s="148" t="s">
        <v>421</v>
      </c>
      <c r="D373" s="148" t="s">
        <v>97</v>
      </c>
      <c r="E373" s="148" t="e">
        <v>#N/A</v>
      </c>
      <c r="F373" t="s">
        <v>249</v>
      </c>
      <c r="G373"/>
    </row>
    <row r="374" spans="1:7" ht="15.75">
      <c r="A374" t="str">
        <f t="shared" si="5"/>
        <v>Bussy-ChardonneyGazCHAUFF</v>
      </c>
      <c r="B374" s="148">
        <v>5625</v>
      </c>
      <c r="C374" s="148" t="s">
        <v>421</v>
      </c>
      <c r="D374" s="148" t="s">
        <v>239</v>
      </c>
      <c r="E374" s="148" t="e">
        <v>#N/A</v>
      </c>
      <c r="F374" t="s">
        <v>249</v>
      </c>
      <c r="G374"/>
    </row>
    <row r="375" spans="1:7" ht="15.75">
      <c r="A375" t="str">
        <f t="shared" si="5"/>
        <v>Bussy-ChardonneyMazoutCHAUFF</v>
      </c>
      <c r="B375" s="148">
        <v>5625</v>
      </c>
      <c r="C375" s="148" t="s">
        <v>421</v>
      </c>
      <c r="D375" s="148" t="s">
        <v>70</v>
      </c>
      <c r="E375" s="148" t="e">
        <v>#N/A</v>
      </c>
      <c r="F375" t="s">
        <v>249</v>
      </c>
      <c r="G375"/>
    </row>
    <row r="376" spans="1:7" ht="15.75">
      <c r="A376" t="str">
        <f t="shared" si="5"/>
        <v>Bussy-ChardonneyNon renseignéCHAUFF</v>
      </c>
      <c r="B376" s="148">
        <v>5625</v>
      </c>
      <c r="C376" s="148" t="s">
        <v>421</v>
      </c>
      <c r="D376" s="148" t="s">
        <v>696</v>
      </c>
      <c r="E376" s="148" t="e">
        <v>#N/A</v>
      </c>
      <c r="F376" t="s">
        <v>249</v>
      </c>
      <c r="G376"/>
    </row>
    <row r="377" spans="1:7" ht="15.75">
      <c r="A377" t="str">
        <f t="shared" si="5"/>
        <v>Bussy-ChardonneyPACCHAUFF</v>
      </c>
      <c r="B377" s="148">
        <v>5625</v>
      </c>
      <c r="C377" s="148" t="s">
        <v>421</v>
      </c>
      <c r="D377" s="148" t="s">
        <v>69</v>
      </c>
      <c r="E377" s="148" t="e">
        <v>#N/A</v>
      </c>
      <c r="F377" t="s">
        <v>249</v>
      </c>
      <c r="G377"/>
    </row>
    <row r="378" spans="1:7" ht="15.75">
      <c r="A378" t="str">
        <f t="shared" si="5"/>
        <v>Bussy-ChardonneySolaireCHAUFF</v>
      </c>
      <c r="B378" s="148">
        <v>5625</v>
      </c>
      <c r="C378" s="148" t="s">
        <v>421</v>
      </c>
      <c r="D378" s="148" t="s">
        <v>240</v>
      </c>
      <c r="E378" s="148" t="e">
        <v>#N/A</v>
      </c>
      <c r="F378" t="s">
        <v>249</v>
      </c>
      <c r="G378"/>
    </row>
    <row r="379" spans="1:7" ht="15.75">
      <c r="A379" t="str">
        <f t="shared" si="5"/>
        <v>Bussy-sur-MoudonAutre agent énergétiqueCHAUFF</v>
      </c>
      <c r="B379" s="148">
        <v>5663</v>
      </c>
      <c r="C379" s="148" t="s">
        <v>663</v>
      </c>
      <c r="D379" s="148" t="s">
        <v>245</v>
      </c>
      <c r="E379" s="148">
        <v>61750.588235290001</v>
      </c>
      <c r="F379" t="s">
        <v>249</v>
      </c>
      <c r="G379"/>
    </row>
    <row r="380" spans="1:7" ht="15.75">
      <c r="A380" t="str">
        <f t="shared" si="5"/>
        <v>Bussy-sur-MoudonBoisCHAUFF</v>
      </c>
      <c r="B380" s="148">
        <v>5663</v>
      </c>
      <c r="C380" s="148" t="s">
        <v>663</v>
      </c>
      <c r="D380" s="148" t="s">
        <v>66</v>
      </c>
      <c r="E380" s="148">
        <v>623659.73333332001</v>
      </c>
      <c r="F380" t="s">
        <v>249</v>
      </c>
      <c r="G380"/>
    </row>
    <row r="381" spans="1:7" ht="15.75">
      <c r="A381" t="str">
        <f t="shared" si="5"/>
        <v>Bussy-sur-MoudonElectricitéCHAUFF</v>
      </c>
      <c r="B381" s="148">
        <v>5663</v>
      </c>
      <c r="C381" s="148" t="s">
        <v>663</v>
      </c>
      <c r="D381" s="148" t="s">
        <v>97</v>
      </c>
      <c r="E381" s="148">
        <v>776668.38709678</v>
      </c>
      <c r="F381" t="s">
        <v>249</v>
      </c>
      <c r="G381"/>
    </row>
    <row r="382" spans="1:7" ht="15.75">
      <c r="A382" t="str">
        <f t="shared" si="5"/>
        <v>Bussy-sur-MoudonGazCHAUFF</v>
      </c>
      <c r="B382" s="148">
        <v>5663</v>
      </c>
      <c r="C382" s="148" t="s">
        <v>663</v>
      </c>
      <c r="D382" s="148" t="s">
        <v>239</v>
      </c>
      <c r="E382" s="148">
        <v>145711.42786377002</v>
      </c>
      <c r="F382" t="s">
        <v>249</v>
      </c>
      <c r="G382"/>
    </row>
    <row r="383" spans="1:7" ht="15.75">
      <c r="A383" t="str">
        <f t="shared" si="5"/>
        <v>Bussy-sur-MoudonMazoutCHAUFF</v>
      </c>
      <c r="B383" s="148">
        <v>5663</v>
      </c>
      <c r="C383" s="148" t="s">
        <v>663</v>
      </c>
      <c r="D383" s="148" t="s">
        <v>70</v>
      </c>
      <c r="E383" s="148">
        <v>2128684.2470588</v>
      </c>
      <c r="F383" t="s">
        <v>249</v>
      </c>
      <c r="G383"/>
    </row>
    <row r="384" spans="1:7" ht="15.75">
      <c r="A384" t="str">
        <f t="shared" si="5"/>
        <v>Bussy-sur-MoudonNon renseignéCHAUFF</v>
      </c>
      <c r="B384" s="148">
        <v>5663</v>
      </c>
      <c r="C384" s="148" t="s">
        <v>663</v>
      </c>
      <c r="D384" s="148" t="s">
        <v>696</v>
      </c>
      <c r="E384" s="148">
        <v>0</v>
      </c>
      <c r="F384" t="s">
        <v>249</v>
      </c>
      <c r="G384"/>
    </row>
    <row r="385" spans="1:7" ht="15.75">
      <c r="A385" t="str">
        <f t="shared" si="5"/>
        <v>Bussy-sur-MoudonPACCHAUFF</v>
      </c>
      <c r="B385" s="148">
        <v>5663</v>
      </c>
      <c r="C385" s="148" t="s">
        <v>663</v>
      </c>
      <c r="D385" s="148" t="s">
        <v>69</v>
      </c>
      <c r="E385" s="148">
        <v>111722.90135056998</v>
      </c>
      <c r="F385" t="s">
        <v>249</v>
      </c>
      <c r="G385"/>
    </row>
    <row r="386" spans="1:7" ht="15.75">
      <c r="A386" t="str">
        <f t="shared" si="5"/>
        <v>Bussy-sur-MoudonSolaireCHAUFF</v>
      </c>
      <c r="B386" s="148">
        <v>5663</v>
      </c>
      <c r="C386" s="148" t="s">
        <v>663</v>
      </c>
      <c r="D386" s="148" t="s">
        <v>240</v>
      </c>
      <c r="E386" s="148" t="e">
        <v>#N/A</v>
      </c>
      <c r="F386" t="s">
        <v>249</v>
      </c>
      <c r="G386"/>
    </row>
    <row r="387" spans="1:7" ht="15.75">
      <c r="A387" t="str">
        <f t="shared" ref="A387:A450" si="6">_xlfn.CONCAT(C387,D387,F387)</f>
        <v>ChamblonBoisCHAUFF</v>
      </c>
      <c r="B387" s="148">
        <v>5904</v>
      </c>
      <c r="C387" s="148" t="s">
        <v>422</v>
      </c>
      <c r="D387" s="148" t="s">
        <v>66</v>
      </c>
      <c r="E387" s="148">
        <v>123634.13333333001</v>
      </c>
      <c r="F387" t="s">
        <v>249</v>
      </c>
      <c r="G387"/>
    </row>
    <row r="388" spans="1:7" ht="15.75">
      <c r="A388" t="str">
        <f t="shared" si="6"/>
        <v>ChamblonCADCHAUFF</v>
      </c>
      <c r="B388" s="148">
        <v>5904</v>
      </c>
      <c r="C388" s="148" t="s">
        <v>422</v>
      </c>
      <c r="D388" s="148" t="s">
        <v>242</v>
      </c>
      <c r="E388" s="148">
        <v>47488</v>
      </c>
      <c r="F388" t="s">
        <v>249</v>
      </c>
      <c r="G388"/>
    </row>
    <row r="389" spans="1:7" ht="15.75">
      <c r="A389" t="str">
        <f t="shared" si="6"/>
        <v>ChamblonElectricitéCHAUFF</v>
      </c>
      <c r="B389" s="148">
        <v>5904</v>
      </c>
      <c r="C389" s="148" t="s">
        <v>422</v>
      </c>
      <c r="D389" s="148" t="s">
        <v>97</v>
      </c>
      <c r="E389" s="148">
        <v>1138126.5591397898</v>
      </c>
      <c r="F389" t="s">
        <v>249</v>
      </c>
      <c r="G389"/>
    </row>
    <row r="390" spans="1:7" ht="15.75">
      <c r="A390" t="str">
        <f t="shared" si="6"/>
        <v>ChamblonGazCHAUFF</v>
      </c>
      <c r="B390" s="148">
        <v>5904</v>
      </c>
      <c r="C390" s="148" t="s">
        <v>422</v>
      </c>
      <c r="D390" s="148" t="s">
        <v>239</v>
      </c>
      <c r="E390" s="148">
        <v>5097197.8328173393</v>
      </c>
      <c r="F390" t="s">
        <v>249</v>
      </c>
      <c r="G390"/>
    </row>
    <row r="391" spans="1:7" ht="15.75">
      <c r="A391" t="str">
        <f t="shared" si="6"/>
        <v>ChamblonMazoutCHAUFF</v>
      </c>
      <c r="B391" s="148">
        <v>5904</v>
      </c>
      <c r="C391" s="148" t="s">
        <v>422</v>
      </c>
      <c r="D391" s="148" t="s">
        <v>70</v>
      </c>
      <c r="E391" s="148">
        <v>647346.35294116999</v>
      </c>
      <c r="F391" t="s">
        <v>249</v>
      </c>
      <c r="G391"/>
    </row>
    <row r="392" spans="1:7" ht="15.75">
      <c r="A392" t="str">
        <f t="shared" si="6"/>
        <v>ChamblonNon renseignéCHAUFF</v>
      </c>
      <c r="B392" s="148">
        <v>5904</v>
      </c>
      <c r="C392" s="148" t="s">
        <v>422</v>
      </c>
      <c r="D392" s="148" t="s">
        <v>696</v>
      </c>
      <c r="E392" s="148">
        <v>0</v>
      </c>
      <c r="F392" t="s">
        <v>249</v>
      </c>
      <c r="G392"/>
    </row>
    <row r="393" spans="1:7" ht="15.75">
      <c r="A393" t="str">
        <f t="shared" si="6"/>
        <v>ChamblonPACCHAUFF</v>
      </c>
      <c r="B393" s="148">
        <v>5904</v>
      </c>
      <c r="C393" s="148" t="s">
        <v>422</v>
      </c>
      <c r="D393" s="148" t="s">
        <v>69</v>
      </c>
      <c r="E393" s="148">
        <v>75591.920289860005</v>
      </c>
      <c r="F393" t="s">
        <v>249</v>
      </c>
      <c r="G393"/>
    </row>
    <row r="394" spans="1:7" ht="15.75">
      <c r="A394" t="str">
        <f t="shared" si="6"/>
        <v>ChamblonSolaireCHAUFF</v>
      </c>
      <c r="B394" s="148">
        <v>5904</v>
      </c>
      <c r="C394" s="148" t="s">
        <v>422</v>
      </c>
      <c r="D394" s="148" t="s">
        <v>240</v>
      </c>
      <c r="E394" s="148" t="e">
        <v>#N/A</v>
      </c>
      <c r="F394" t="s">
        <v>249</v>
      </c>
      <c r="G394"/>
    </row>
    <row r="395" spans="1:7" ht="15.75">
      <c r="A395" t="str">
        <f t="shared" si="6"/>
        <v>ChampagneAutre agent énergétiqueCHAUFF</v>
      </c>
      <c r="B395" s="148">
        <v>5553</v>
      </c>
      <c r="C395" s="148" t="s">
        <v>423</v>
      </c>
      <c r="D395" s="148" t="s">
        <v>245</v>
      </c>
      <c r="E395" s="148">
        <v>189882.35294118</v>
      </c>
      <c r="F395" t="s">
        <v>249</v>
      </c>
      <c r="G395"/>
    </row>
    <row r="396" spans="1:7" ht="15.75">
      <c r="A396" t="str">
        <f t="shared" si="6"/>
        <v>ChampagneBoisCHAUFF</v>
      </c>
      <c r="B396" s="148">
        <v>5553</v>
      </c>
      <c r="C396" s="148" t="s">
        <v>423</v>
      </c>
      <c r="D396" s="148" t="s">
        <v>66</v>
      </c>
      <c r="E396" s="148">
        <v>1160168.5529411798</v>
      </c>
      <c r="F396" t="s">
        <v>249</v>
      </c>
      <c r="G396"/>
    </row>
    <row r="397" spans="1:7" ht="15.75">
      <c r="A397" t="str">
        <f t="shared" si="6"/>
        <v>ChampagneCADCHAUFF</v>
      </c>
      <c r="B397" s="148">
        <v>5553</v>
      </c>
      <c r="C397" s="148" t="s">
        <v>423</v>
      </c>
      <c r="D397" s="148" t="s">
        <v>242</v>
      </c>
      <c r="E397" s="148">
        <v>2789111.8899999992</v>
      </c>
      <c r="F397" t="s">
        <v>249</v>
      </c>
      <c r="G397"/>
    </row>
    <row r="398" spans="1:7" ht="15.75">
      <c r="A398" t="str">
        <f t="shared" si="6"/>
        <v>ChampagneElectricitéCHAUFF</v>
      </c>
      <c r="B398" s="148">
        <v>5553</v>
      </c>
      <c r="C398" s="148" t="s">
        <v>423</v>
      </c>
      <c r="D398" s="148" t="s">
        <v>97</v>
      </c>
      <c r="E398" s="148">
        <v>1354426.0215053498</v>
      </c>
      <c r="F398" t="s">
        <v>249</v>
      </c>
      <c r="G398"/>
    </row>
    <row r="399" spans="1:7" ht="15.75">
      <c r="A399" t="str">
        <f t="shared" si="6"/>
        <v>ChampagneGazCHAUFF</v>
      </c>
      <c r="B399" s="148">
        <v>5553</v>
      </c>
      <c r="C399" s="148" t="s">
        <v>423</v>
      </c>
      <c r="D399" s="148" t="s">
        <v>239</v>
      </c>
      <c r="E399" s="148">
        <v>267709.78328173002</v>
      </c>
      <c r="F399" t="s">
        <v>249</v>
      </c>
      <c r="G399"/>
    </row>
    <row r="400" spans="1:7" ht="15.75">
      <c r="A400" t="str">
        <f t="shared" si="6"/>
        <v>ChampagneMazoutCHAUFF</v>
      </c>
      <c r="B400" s="148">
        <v>5553</v>
      </c>
      <c r="C400" s="148" t="s">
        <v>423</v>
      </c>
      <c r="D400" s="148" t="s">
        <v>70</v>
      </c>
      <c r="E400" s="148">
        <v>5133407.9411764592</v>
      </c>
      <c r="F400" t="s">
        <v>249</v>
      </c>
      <c r="G400"/>
    </row>
    <row r="401" spans="1:7" ht="15.75">
      <c r="A401" t="str">
        <f t="shared" si="6"/>
        <v>ChampagneNon renseignéCHAUFF</v>
      </c>
      <c r="B401" s="148">
        <v>5553</v>
      </c>
      <c r="C401" s="148" t="s">
        <v>423</v>
      </c>
      <c r="D401" s="148" t="s">
        <v>696</v>
      </c>
      <c r="E401" s="148">
        <v>0</v>
      </c>
      <c r="F401" t="s">
        <v>249</v>
      </c>
      <c r="G401"/>
    </row>
    <row r="402" spans="1:7" ht="15.75">
      <c r="A402" t="str">
        <f t="shared" si="6"/>
        <v>ChampagnePACCHAUFF</v>
      </c>
      <c r="B402" s="148">
        <v>5553</v>
      </c>
      <c r="C402" s="148" t="s">
        <v>423</v>
      </c>
      <c r="D402" s="148" t="s">
        <v>69</v>
      </c>
      <c r="E402" s="148">
        <v>520072.15890084987</v>
      </c>
      <c r="F402" t="s">
        <v>249</v>
      </c>
      <c r="G402"/>
    </row>
    <row r="403" spans="1:7" ht="15.75">
      <c r="A403" t="str">
        <f t="shared" si="6"/>
        <v>ChampagneSolaireCHAUFF</v>
      </c>
      <c r="B403" s="148">
        <v>5553</v>
      </c>
      <c r="C403" s="148" t="s">
        <v>423</v>
      </c>
      <c r="D403" s="148" t="s">
        <v>240</v>
      </c>
      <c r="E403" s="148" t="e">
        <v>#N/A</v>
      </c>
      <c r="F403" t="s">
        <v>249</v>
      </c>
      <c r="G403"/>
    </row>
    <row r="404" spans="1:7" ht="15.75">
      <c r="A404" t="str">
        <f t="shared" si="6"/>
        <v>ChamptaurozBoisCHAUFF</v>
      </c>
      <c r="B404" s="148">
        <v>5812</v>
      </c>
      <c r="C404" s="148" t="s">
        <v>424</v>
      </c>
      <c r="D404" s="148" t="s">
        <v>66</v>
      </c>
      <c r="E404" s="148">
        <v>421765.56862745999</v>
      </c>
      <c r="F404" t="s">
        <v>249</v>
      </c>
      <c r="G404"/>
    </row>
    <row r="405" spans="1:7" ht="15.75">
      <c r="A405" t="str">
        <f t="shared" si="6"/>
        <v>ChamptaurozElectricitéCHAUFF</v>
      </c>
      <c r="B405" s="148">
        <v>5812</v>
      </c>
      <c r="C405" s="148" t="s">
        <v>424</v>
      </c>
      <c r="D405" s="148" t="s">
        <v>97</v>
      </c>
      <c r="E405" s="148">
        <v>117356.12903226001</v>
      </c>
      <c r="F405" t="s">
        <v>249</v>
      </c>
      <c r="G405"/>
    </row>
    <row r="406" spans="1:7" ht="15.75">
      <c r="A406" t="str">
        <f t="shared" si="6"/>
        <v>ChamptaurozGazCHAUFF</v>
      </c>
      <c r="B406" s="148">
        <v>5812</v>
      </c>
      <c r="C406" s="148" t="s">
        <v>424</v>
      </c>
      <c r="D406" s="148" t="s">
        <v>239</v>
      </c>
      <c r="E406" s="148">
        <v>285566.51393188996</v>
      </c>
      <c r="F406" t="s">
        <v>249</v>
      </c>
      <c r="G406"/>
    </row>
    <row r="407" spans="1:7" ht="15.75">
      <c r="A407" t="str">
        <f t="shared" si="6"/>
        <v>ChamptaurozMazoutCHAUFF</v>
      </c>
      <c r="B407" s="148">
        <v>5812</v>
      </c>
      <c r="C407" s="148" t="s">
        <v>424</v>
      </c>
      <c r="D407" s="148" t="s">
        <v>70</v>
      </c>
      <c r="E407" s="148">
        <v>1908841.2941176498</v>
      </c>
      <c r="F407" t="s">
        <v>249</v>
      </c>
      <c r="G407"/>
    </row>
    <row r="408" spans="1:7" ht="15.75">
      <c r="A408" t="str">
        <f t="shared" si="6"/>
        <v>ChamptaurozNon renseignéCHAUFF</v>
      </c>
      <c r="B408" s="148">
        <v>5812</v>
      </c>
      <c r="C408" s="148" t="s">
        <v>424</v>
      </c>
      <c r="D408" s="148" t="s">
        <v>696</v>
      </c>
      <c r="E408" s="148">
        <v>0</v>
      </c>
      <c r="F408" t="s">
        <v>249</v>
      </c>
      <c r="G408"/>
    </row>
    <row r="409" spans="1:7" ht="15.75">
      <c r="A409" t="str">
        <f t="shared" si="6"/>
        <v>ChamptaurozPACCHAUFF</v>
      </c>
      <c r="B409" s="148">
        <v>5812</v>
      </c>
      <c r="C409" s="148" t="s">
        <v>424</v>
      </c>
      <c r="D409" s="148" t="s">
        <v>69</v>
      </c>
      <c r="E409" s="148">
        <v>47805.13185184</v>
      </c>
      <c r="F409" t="s">
        <v>249</v>
      </c>
      <c r="G409"/>
    </row>
    <row r="410" spans="1:7" ht="15.75">
      <c r="A410" t="str">
        <f t="shared" si="6"/>
        <v>ChamptaurozSolaireCHAUFF</v>
      </c>
      <c r="B410" s="148">
        <v>5812</v>
      </c>
      <c r="C410" s="148" t="s">
        <v>424</v>
      </c>
      <c r="D410" s="148" t="s">
        <v>240</v>
      </c>
      <c r="E410" s="148" t="e">
        <v>#N/A</v>
      </c>
      <c r="F410" t="s">
        <v>249</v>
      </c>
      <c r="G410"/>
    </row>
    <row r="411" spans="1:7" ht="15.75">
      <c r="A411" t="str">
        <f t="shared" si="6"/>
        <v>ChampventBoisCHAUFF</v>
      </c>
      <c r="B411" s="148">
        <v>5905</v>
      </c>
      <c r="C411" s="148" t="s">
        <v>425</v>
      </c>
      <c r="D411" s="148" t="s">
        <v>66</v>
      </c>
      <c r="E411" s="148">
        <v>965739.33333334001</v>
      </c>
      <c r="F411" t="s">
        <v>249</v>
      </c>
      <c r="G411"/>
    </row>
    <row r="412" spans="1:7" ht="15.75">
      <c r="A412" t="str">
        <f t="shared" si="6"/>
        <v>ChampventCADCHAUFF</v>
      </c>
      <c r="B412" s="148">
        <v>5905</v>
      </c>
      <c r="C412" s="148" t="s">
        <v>425</v>
      </c>
      <c r="D412" s="148" t="s">
        <v>242</v>
      </c>
      <c r="E412" s="148">
        <v>219157</v>
      </c>
      <c r="F412" t="s">
        <v>249</v>
      </c>
      <c r="G412"/>
    </row>
    <row r="413" spans="1:7" ht="15.75">
      <c r="A413" t="str">
        <f t="shared" si="6"/>
        <v>ChampventElectricitéCHAUFF</v>
      </c>
      <c r="B413" s="148">
        <v>5905</v>
      </c>
      <c r="C413" s="148" t="s">
        <v>425</v>
      </c>
      <c r="D413" s="148" t="s">
        <v>97</v>
      </c>
      <c r="E413" s="148">
        <v>148547.95698924002</v>
      </c>
      <c r="F413" t="s">
        <v>249</v>
      </c>
      <c r="G413"/>
    </row>
    <row r="414" spans="1:7" ht="15.75">
      <c r="A414" t="str">
        <f t="shared" si="6"/>
        <v>ChampventGazCHAUFF</v>
      </c>
      <c r="B414" s="148">
        <v>5905</v>
      </c>
      <c r="C414" s="148" t="s">
        <v>425</v>
      </c>
      <c r="D414" s="148" t="s">
        <v>239</v>
      </c>
      <c r="E414" s="148">
        <v>3298552.6625386886</v>
      </c>
      <c r="F414" t="s">
        <v>249</v>
      </c>
      <c r="G414"/>
    </row>
    <row r="415" spans="1:7" ht="15.75">
      <c r="A415" t="str">
        <f t="shared" si="6"/>
        <v>ChampventMazoutCHAUFF</v>
      </c>
      <c r="B415" s="148">
        <v>5905</v>
      </c>
      <c r="C415" s="148" t="s">
        <v>425</v>
      </c>
      <c r="D415" s="148" t="s">
        <v>70</v>
      </c>
      <c r="E415" s="148">
        <v>3139610.0470588305</v>
      </c>
      <c r="F415" t="s">
        <v>249</v>
      </c>
      <c r="G415"/>
    </row>
    <row r="416" spans="1:7" ht="15.75">
      <c r="A416" t="str">
        <f t="shared" si="6"/>
        <v>ChampventNon renseignéCHAUFF</v>
      </c>
      <c r="B416" s="148">
        <v>5905</v>
      </c>
      <c r="C416" s="148" t="s">
        <v>425</v>
      </c>
      <c r="D416" s="148" t="s">
        <v>696</v>
      </c>
      <c r="E416" s="148">
        <v>0</v>
      </c>
      <c r="F416" t="s">
        <v>249</v>
      </c>
      <c r="G416"/>
    </row>
    <row r="417" spans="1:7" ht="15.75">
      <c r="A417" t="str">
        <f t="shared" si="6"/>
        <v>ChampventPACCHAUFF</v>
      </c>
      <c r="B417" s="148">
        <v>5905</v>
      </c>
      <c r="C417" s="148" t="s">
        <v>425</v>
      </c>
      <c r="D417" s="148" t="s">
        <v>69</v>
      </c>
      <c r="E417" s="148">
        <v>178003.40740741001</v>
      </c>
      <c r="F417" t="s">
        <v>249</v>
      </c>
      <c r="G417"/>
    </row>
    <row r="418" spans="1:7" ht="15.75">
      <c r="A418" t="str">
        <f t="shared" si="6"/>
        <v>ChampventSolaireCHAUFF</v>
      </c>
      <c r="B418" s="148">
        <v>5905</v>
      </c>
      <c r="C418" s="148" t="s">
        <v>425</v>
      </c>
      <c r="D418" s="148" t="s">
        <v>240</v>
      </c>
      <c r="E418" s="148">
        <v>50220</v>
      </c>
      <c r="F418" t="s">
        <v>249</v>
      </c>
      <c r="G418"/>
    </row>
    <row r="419" spans="1:7" ht="15.75">
      <c r="A419" t="str">
        <f t="shared" si="6"/>
        <v>ChardonneBoisCHAUFF</v>
      </c>
      <c r="B419" s="148">
        <v>5882</v>
      </c>
      <c r="C419" s="148" t="s">
        <v>426</v>
      </c>
      <c r="D419" s="148" t="s">
        <v>66</v>
      </c>
      <c r="E419" s="148">
        <v>4233599.2643137109</v>
      </c>
      <c r="F419" t="s">
        <v>249</v>
      </c>
      <c r="G419"/>
    </row>
    <row r="420" spans="1:7" ht="15.75">
      <c r="A420" t="str">
        <f t="shared" si="6"/>
        <v>ChardonneElectricitéCHAUFF</v>
      </c>
      <c r="B420" s="148">
        <v>5882</v>
      </c>
      <c r="C420" s="148" t="s">
        <v>426</v>
      </c>
      <c r="D420" s="148" t="s">
        <v>97</v>
      </c>
      <c r="E420" s="148">
        <v>1393620.3225806402</v>
      </c>
      <c r="F420" t="s">
        <v>249</v>
      </c>
      <c r="G420"/>
    </row>
    <row r="421" spans="1:7" ht="15.75">
      <c r="A421" t="str">
        <f t="shared" si="6"/>
        <v>ChardonneGazCHAUFF</v>
      </c>
      <c r="B421" s="148">
        <v>5882</v>
      </c>
      <c r="C421" s="148" t="s">
        <v>426</v>
      </c>
      <c r="D421" s="148" t="s">
        <v>239</v>
      </c>
      <c r="E421" s="148">
        <v>21524520.715170257</v>
      </c>
      <c r="F421" t="s">
        <v>249</v>
      </c>
      <c r="G421"/>
    </row>
    <row r="422" spans="1:7" ht="15.75">
      <c r="A422" t="str">
        <f t="shared" si="6"/>
        <v>ChardonneMazoutCHAUFF</v>
      </c>
      <c r="B422" s="148">
        <v>5882</v>
      </c>
      <c r="C422" s="148" t="s">
        <v>426</v>
      </c>
      <c r="D422" s="148" t="s">
        <v>70</v>
      </c>
      <c r="E422" s="148">
        <v>12769217.065934073</v>
      </c>
      <c r="F422" t="s">
        <v>249</v>
      </c>
      <c r="G422"/>
    </row>
    <row r="423" spans="1:7" ht="15.75">
      <c r="A423" t="str">
        <f t="shared" si="6"/>
        <v>ChardonneNon renseignéCHAUFF</v>
      </c>
      <c r="B423" s="148">
        <v>5882</v>
      </c>
      <c r="C423" s="148" t="s">
        <v>426</v>
      </c>
      <c r="D423" s="148" t="s">
        <v>696</v>
      </c>
      <c r="E423" s="148">
        <v>0</v>
      </c>
      <c r="F423" t="s">
        <v>249</v>
      </c>
      <c r="G423"/>
    </row>
    <row r="424" spans="1:7" ht="15.75">
      <c r="A424" t="str">
        <f t="shared" si="6"/>
        <v>ChardonnePACCHAUFF</v>
      </c>
      <c r="B424" s="148">
        <v>5882</v>
      </c>
      <c r="C424" s="148" t="s">
        <v>426</v>
      </c>
      <c r="D424" s="148" t="s">
        <v>69</v>
      </c>
      <c r="E424" s="148">
        <v>672288.0051166201</v>
      </c>
      <c r="F424" t="s">
        <v>249</v>
      </c>
      <c r="G424"/>
    </row>
    <row r="425" spans="1:7" ht="15.75">
      <c r="A425" t="str">
        <f t="shared" si="6"/>
        <v>ChardonneSolaireCHAUFF</v>
      </c>
      <c r="B425" s="148">
        <v>5882</v>
      </c>
      <c r="C425" s="148" t="s">
        <v>426</v>
      </c>
      <c r="D425" s="148" t="s">
        <v>240</v>
      </c>
      <c r="E425" s="148">
        <v>102950.40000000001</v>
      </c>
      <c r="F425" t="s">
        <v>249</v>
      </c>
      <c r="G425"/>
    </row>
    <row r="426" spans="1:7" ht="15.75">
      <c r="A426" t="str">
        <f t="shared" si="6"/>
        <v>ChardonneAutre agent énergétiqueCHAUFF</v>
      </c>
      <c r="B426" s="148">
        <v>5882</v>
      </c>
      <c r="C426" s="148" t="s">
        <v>426</v>
      </c>
      <c r="D426" s="148" t="s">
        <v>245</v>
      </c>
      <c r="E426" s="148" t="e">
        <v>#N/A</v>
      </c>
      <c r="F426" t="s">
        <v>249</v>
      </c>
      <c r="G426"/>
    </row>
    <row r="427" spans="1:7" ht="15.75">
      <c r="A427" t="str">
        <f t="shared" si="6"/>
        <v>Château-d'OexBoisCHAUFF</v>
      </c>
      <c r="B427" s="148">
        <v>5841</v>
      </c>
      <c r="C427" s="148" t="s">
        <v>681</v>
      </c>
      <c r="D427" s="148" t="s">
        <v>66</v>
      </c>
      <c r="E427" s="148">
        <v>17406167.078274414</v>
      </c>
      <c r="F427" t="s">
        <v>249</v>
      </c>
      <c r="G427"/>
    </row>
    <row r="428" spans="1:7" ht="15.75">
      <c r="A428" t="str">
        <f t="shared" si="6"/>
        <v>Château-d'OexCADCHAUFF</v>
      </c>
      <c r="B428" s="148">
        <v>5841</v>
      </c>
      <c r="C428" s="148" t="s">
        <v>681</v>
      </c>
      <c r="D428" s="148" t="s">
        <v>242</v>
      </c>
      <c r="E428" s="148">
        <v>490845.60000000003</v>
      </c>
      <c r="F428" t="s">
        <v>249</v>
      </c>
      <c r="G428"/>
    </row>
    <row r="429" spans="1:7" ht="15.75">
      <c r="A429" t="str">
        <f t="shared" si="6"/>
        <v>Château-d'OexElectricitéCHAUFF</v>
      </c>
      <c r="B429" s="148">
        <v>5841</v>
      </c>
      <c r="C429" s="148" t="s">
        <v>681</v>
      </c>
      <c r="D429" s="148" t="s">
        <v>97</v>
      </c>
      <c r="E429" s="148">
        <v>5525828.2688172534</v>
      </c>
      <c r="F429" t="s">
        <v>249</v>
      </c>
      <c r="G429"/>
    </row>
    <row r="430" spans="1:7" ht="15.75">
      <c r="A430" t="str">
        <f t="shared" si="6"/>
        <v>Château-d'OexGazCHAUFF</v>
      </c>
      <c r="B430" s="148">
        <v>5841</v>
      </c>
      <c r="C430" s="148" t="s">
        <v>681</v>
      </c>
      <c r="D430" s="148" t="s">
        <v>239</v>
      </c>
      <c r="E430" s="148">
        <v>152101.00309596999</v>
      </c>
      <c r="F430" t="s">
        <v>249</v>
      </c>
      <c r="G430"/>
    </row>
    <row r="431" spans="1:7" ht="15.75">
      <c r="A431" t="str">
        <f t="shared" si="6"/>
        <v>Château-d'OexMazoutCHAUFF</v>
      </c>
      <c r="B431" s="148">
        <v>5841</v>
      </c>
      <c r="C431" s="148" t="s">
        <v>681</v>
      </c>
      <c r="D431" s="148" t="s">
        <v>70</v>
      </c>
      <c r="E431" s="148">
        <v>40675587.350484855</v>
      </c>
      <c r="F431" t="s">
        <v>249</v>
      </c>
      <c r="G431"/>
    </row>
    <row r="432" spans="1:7" ht="15.75">
      <c r="A432" t="str">
        <f t="shared" si="6"/>
        <v>Château-d'OexNon renseignéCHAUFF</v>
      </c>
      <c r="B432" s="148">
        <v>5841</v>
      </c>
      <c r="C432" s="148" t="s">
        <v>681</v>
      </c>
      <c r="D432" s="148" t="s">
        <v>696</v>
      </c>
      <c r="E432" s="148">
        <v>0</v>
      </c>
      <c r="F432" t="s">
        <v>249</v>
      </c>
      <c r="G432"/>
    </row>
    <row r="433" spans="1:7" ht="15.75">
      <c r="A433" t="str">
        <f t="shared" si="6"/>
        <v>Château-d'OexPACCHAUFF</v>
      </c>
      <c r="B433" s="148">
        <v>5841</v>
      </c>
      <c r="C433" s="148" t="s">
        <v>681</v>
      </c>
      <c r="D433" s="148" t="s">
        <v>69</v>
      </c>
      <c r="E433" s="148">
        <v>2171706.4992389693</v>
      </c>
      <c r="F433" t="s">
        <v>249</v>
      </c>
      <c r="G433"/>
    </row>
    <row r="434" spans="1:7" ht="15.75">
      <c r="A434" t="str">
        <f t="shared" si="6"/>
        <v>Château-d'OexSolaireCHAUFF</v>
      </c>
      <c r="B434" s="148">
        <v>5841</v>
      </c>
      <c r="C434" s="148" t="s">
        <v>681</v>
      </c>
      <c r="D434" s="148" t="s">
        <v>240</v>
      </c>
      <c r="E434" s="148">
        <v>122315</v>
      </c>
      <c r="F434" t="s">
        <v>249</v>
      </c>
      <c r="G434"/>
    </row>
    <row r="435" spans="1:7" ht="15.75">
      <c r="A435" t="str">
        <f t="shared" si="6"/>
        <v>Chavannes-de-BogisBoisCHAUFF</v>
      </c>
      <c r="B435" s="148">
        <v>5707</v>
      </c>
      <c r="C435" s="148" t="s">
        <v>662</v>
      </c>
      <c r="D435" s="148" t="s">
        <v>66</v>
      </c>
      <c r="E435" s="148">
        <v>1541134.7490195902</v>
      </c>
      <c r="F435" t="s">
        <v>249</v>
      </c>
      <c r="G435"/>
    </row>
    <row r="436" spans="1:7" ht="15.75">
      <c r="A436" t="str">
        <f t="shared" si="6"/>
        <v>Chavannes-de-BogisElectricitéCHAUFF</v>
      </c>
      <c r="B436" s="148">
        <v>5707</v>
      </c>
      <c r="C436" s="148" t="s">
        <v>662</v>
      </c>
      <c r="D436" s="148" t="s">
        <v>97</v>
      </c>
      <c r="E436" s="148">
        <v>5512381.2903224882</v>
      </c>
      <c r="F436" t="s">
        <v>249</v>
      </c>
      <c r="G436"/>
    </row>
    <row r="437" spans="1:7" ht="15.75">
      <c r="A437" t="str">
        <f t="shared" si="6"/>
        <v>Chavannes-de-BogisGazCHAUFF</v>
      </c>
      <c r="B437" s="148">
        <v>5707</v>
      </c>
      <c r="C437" s="148" t="s">
        <v>662</v>
      </c>
      <c r="D437" s="148" t="s">
        <v>239</v>
      </c>
      <c r="E437" s="148">
        <v>116378.17956657</v>
      </c>
      <c r="F437" t="s">
        <v>249</v>
      </c>
      <c r="G437"/>
    </row>
    <row r="438" spans="1:7" ht="15.75">
      <c r="A438" t="str">
        <f t="shared" si="6"/>
        <v>Chavannes-de-BogisMazoutCHAUFF</v>
      </c>
      <c r="B438" s="148">
        <v>5707</v>
      </c>
      <c r="C438" s="148" t="s">
        <v>662</v>
      </c>
      <c r="D438" s="148" t="s">
        <v>70</v>
      </c>
      <c r="E438" s="148">
        <v>8684334.2117647026</v>
      </c>
      <c r="F438" t="s">
        <v>249</v>
      </c>
      <c r="G438"/>
    </row>
    <row r="439" spans="1:7" ht="15.75">
      <c r="A439" t="str">
        <f t="shared" si="6"/>
        <v>Chavannes-de-BogisNon renseignéCHAUFF</v>
      </c>
      <c r="B439" s="148">
        <v>5707</v>
      </c>
      <c r="C439" s="148" t="s">
        <v>662</v>
      </c>
      <c r="D439" s="148" t="s">
        <v>696</v>
      </c>
      <c r="E439" s="148">
        <v>0</v>
      </c>
      <c r="F439" t="s">
        <v>249</v>
      </c>
      <c r="G439"/>
    </row>
    <row r="440" spans="1:7" ht="15.75">
      <c r="A440" t="str">
        <f t="shared" si="6"/>
        <v>Chavannes-de-BogisPACCHAUFF</v>
      </c>
      <c r="B440" s="148">
        <v>5707</v>
      </c>
      <c r="C440" s="148" t="s">
        <v>662</v>
      </c>
      <c r="D440" s="148" t="s">
        <v>69</v>
      </c>
      <c r="E440" s="148">
        <v>410091.98535140994</v>
      </c>
      <c r="F440" t="s">
        <v>249</v>
      </c>
      <c r="G440"/>
    </row>
    <row r="441" spans="1:7" ht="15.75">
      <c r="A441" t="str">
        <f t="shared" si="6"/>
        <v>Chavannes-de-BogisSolaireCHAUFF</v>
      </c>
      <c r="B441" s="148">
        <v>5707</v>
      </c>
      <c r="C441" s="148" t="s">
        <v>662</v>
      </c>
      <c r="D441" s="148" t="s">
        <v>240</v>
      </c>
      <c r="E441" s="148" t="e">
        <v>#N/A</v>
      </c>
      <c r="F441" t="s">
        <v>249</v>
      </c>
      <c r="G441"/>
    </row>
    <row r="442" spans="1:7" ht="15.75">
      <c r="A442" t="str">
        <f t="shared" si="6"/>
        <v>Chavannes-des-BoisAutre agent énergétiqueCHAUFF</v>
      </c>
      <c r="B442" s="148">
        <v>5708</v>
      </c>
      <c r="C442" s="148" t="s">
        <v>661</v>
      </c>
      <c r="D442" s="148" t="s">
        <v>245</v>
      </c>
      <c r="E442" s="148">
        <v>44186.352941160003</v>
      </c>
      <c r="F442" t="s">
        <v>249</v>
      </c>
      <c r="G442"/>
    </row>
    <row r="443" spans="1:7" ht="15.75">
      <c r="A443" t="str">
        <f t="shared" si="6"/>
        <v>Chavannes-des-BoisBoisCHAUFF</v>
      </c>
      <c r="B443" s="148">
        <v>5708</v>
      </c>
      <c r="C443" s="148" t="s">
        <v>661</v>
      </c>
      <c r="D443" s="148" t="s">
        <v>66</v>
      </c>
      <c r="E443" s="148">
        <v>1462906.8549019201</v>
      </c>
      <c r="F443" t="s">
        <v>249</v>
      </c>
      <c r="G443"/>
    </row>
    <row r="444" spans="1:7" ht="15.75">
      <c r="A444" t="str">
        <f t="shared" si="6"/>
        <v>Chavannes-des-BoisElectricitéCHAUFF</v>
      </c>
      <c r="B444" s="148">
        <v>5708</v>
      </c>
      <c r="C444" s="148" t="s">
        <v>661</v>
      </c>
      <c r="D444" s="148" t="s">
        <v>97</v>
      </c>
      <c r="E444" s="148">
        <v>1563815.9139784796</v>
      </c>
      <c r="F444" t="s">
        <v>249</v>
      </c>
      <c r="G444"/>
    </row>
    <row r="445" spans="1:7" ht="15.75">
      <c r="A445" t="str">
        <f t="shared" si="6"/>
        <v>Chavannes-des-BoisGazCHAUFF</v>
      </c>
      <c r="B445" s="148">
        <v>5708</v>
      </c>
      <c r="C445" s="148" t="s">
        <v>661</v>
      </c>
      <c r="D445" s="148" t="s">
        <v>239</v>
      </c>
      <c r="E445" s="148">
        <v>473411.13312695007</v>
      </c>
      <c r="F445" t="s">
        <v>249</v>
      </c>
      <c r="G445"/>
    </row>
    <row r="446" spans="1:7" ht="15.75">
      <c r="A446" t="str">
        <f t="shared" si="6"/>
        <v>Chavannes-des-BoisMazoutCHAUFF</v>
      </c>
      <c r="B446" s="148">
        <v>5708</v>
      </c>
      <c r="C446" s="148" t="s">
        <v>661</v>
      </c>
      <c r="D446" s="148" t="s">
        <v>70</v>
      </c>
      <c r="E446" s="148">
        <v>2539289.011764701</v>
      </c>
      <c r="F446" t="s">
        <v>249</v>
      </c>
      <c r="G446"/>
    </row>
    <row r="447" spans="1:7" ht="15.75">
      <c r="A447" t="str">
        <f t="shared" si="6"/>
        <v>Chavannes-des-BoisNon renseignéCHAUFF</v>
      </c>
      <c r="B447" s="148">
        <v>5708</v>
      </c>
      <c r="C447" s="148" t="s">
        <v>661</v>
      </c>
      <c r="D447" s="148" t="s">
        <v>696</v>
      </c>
      <c r="E447" s="148">
        <v>0</v>
      </c>
      <c r="F447" t="s">
        <v>249</v>
      </c>
      <c r="G447"/>
    </row>
    <row r="448" spans="1:7" ht="15.75">
      <c r="A448" t="str">
        <f t="shared" si="6"/>
        <v>Chavannes-des-BoisPACCHAUFF</v>
      </c>
      <c r="B448" s="148">
        <v>5708</v>
      </c>
      <c r="C448" s="148" t="s">
        <v>661</v>
      </c>
      <c r="D448" s="148" t="s">
        <v>69</v>
      </c>
      <c r="E448" s="148">
        <v>387723.63714100985</v>
      </c>
      <c r="F448" t="s">
        <v>249</v>
      </c>
      <c r="G448"/>
    </row>
    <row r="449" spans="1:7" ht="15.75">
      <c r="A449" t="str">
        <f t="shared" si="6"/>
        <v>Chavannes-des-BoisSolaireCHAUFF</v>
      </c>
      <c r="B449" s="148">
        <v>5708</v>
      </c>
      <c r="C449" s="148" t="s">
        <v>661</v>
      </c>
      <c r="D449" s="148" t="s">
        <v>240</v>
      </c>
      <c r="E449" s="148" t="e">
        <v>#N/A</v>
      </c>
      <c r="F449" t="s">
        <v>249</v>
      </c>
      <c r="G449"/>
    </row>
    <row r="450" spans="1:7" ht="15.75">
      <c r="A450" t="str">
        <f t="shared" si="6"/>
        <v>Chavannes-le-ChêneBoisCHAUFF</v>
      </c>
      <c r="B450" s="148">
        <v>5907</v>
      </c>
      <c r="C450" s="148" t="s">
        <v>660</v>
      </c>
      <c r="D450" s="148" t="s">
        <v>66</v>
      </c>
      <c r="E450" s="148">
        <v>1383865.0745097902</v>
      </c>
      <c r="F450" t="s">
        <v>249</v>
      </c>
      <c r="G450"/>
    </row>
    <row r="451" spans="1:7" ht="15.75">
      <c r="A451" t="str">
        <f t="shared" ref="A451:A514" si="7">_xlfn.CONCAT(C451,D451,F451)</f>
        <v>Chavannes-le-ChêneElectricitéCHAUFF</v>
      </c>
      <c r="B451" s="148">
        <v>5907</v>
      </c>
      <c r="C451" s="148" t="s">
        <v>660</v>
      </c>
      <c r="D451" s="148" t="s">
        <v>97</v>
      </c>
      <c r="E451" s="148">
        <v>306811.61290323001</v>
      </c>
      <c r="F451" t="s">
        <v>249</v>
      </c>
      <c r="G451"/>
    </row>
    <row r="452" spans="1:7" ht="15.75">
      <c r="A452" t="str">
        <f t="shared" si="7"/>
        <v>Chavannes-le-ChêneGazCHAUFF</v>
      </c>
      <c r="B452" s="148">
        <v>5907</v>
      </c>
      <c r="C452" s="148" t="s">
        <v>660</v>
      </c>
      <c r="D452" s="148" t="s">
        <v>239</v>
      </c>
      <c r="E452" s="148">
        <v>1041342.3767801899</v>
      </c>
      <c r="F452" t="s">
        <v>249</v>
      </c>
      <c r="G452"/>
    </row>
    <row r="453" spans="1:7" ht="15.75">
      <c r="A453" t="str">
        <f t="shared" si="7"/>
        <v>Chavannes-le-ChêneMazoutCHAUFF</v>
      </c>
      <c r="B453" s="148">
        <v>5907</v>
      </c>
      <c r="C453" s="148" t="s">
        <v>660</v>
      </c>
      <c r="D453" s="148" t="s">
        <v>70</v>
      </c>
      <c r="E453" s="148">
        <v>2524341.1609566892</v>
      </c>
      <c r="F453" t="s">
        <v>249</v>
      </c>
      <c r="G453"/>
    </row>
    <row r="454" spans="1:7" ht="15.75">
      <c r="A454" t="str">
        <f t="shared" si="7"/>
        <v>Chavannes-le-ChêneNon renseignéCHAUFF</v>
      </c>
      <c r="B454" s="148">
        <v>5907</v>
      </c>
      <c r="C454" s="148" t="s">
        <v>660</v>
      </c>
      <c r="D454" s="148" t="s">
        <v>696</v>
      </c>
      <c r="E454" s="148">
        <v>0</v>
      </c>
      <c r="F454" t="s">
        <v>249</v>
      </c>
      <c r="G454"/>
    </row>
    <row r="455" spans="1:7" ht="15.75">
      <c r="A455" t="str">
        <f t="shared" si="7"/>
        <v>Chavannes-le-ChênePACCHAUFF</v>
      </c>
      <c r="B455" s="148">
        <v>5907</v>
      </c>
      <c r="C455" s="148" t="s">
        <v>660</v>
      </c>
      <c r="D455" s="148" t="s">
        <v>69</v>
      </c>
      <c r="E455" s="148">
        <v>34544.444444430002</v>
      </c>
      <c r="F455" t="s">
        <v>249</v>
      </c>
      <c r="G455"/>
    </row>
    <row r="456" spans="1:7" ht="15.75">
      <c r="A456" t="str">
        <f t="shared" si="7"/>
        <v>Chavannes-le-ChêneSolaireCHAUFF</v>
      </c>
      <c r="B456" s="148">
        <v>5907</v>
      </c>
      <c r="C456" s="148" t="s">
        <v>660</v>
      </c>
      <c r="D456" s="148" t="s">
        <v>240</v>
      </c>
      <c r="E456" s="148" t="e">
        <v>#N/A</v>
      </c>
      <c r="F456" t="s">
        <v>249</v>
      </c>
      <c r="G456"/>
    </row>
    <row r="457" spans="1:7" ht="15.75">
      <c r="A457" t="str">
        <f t="shared" si="7"/>
        <v>Chavannes-le-VeyronAutre agent énergétiqueCHAUFF</v>
      </c>
      <c r="B457" s="148">
        <v>5475</v>
      </c>
      <c r="C457" s="148" t="s">
        <v>659</v>
      </c>
      <c r="D457" s="148" t="s">
        <v>245</v>
      </c>
      <c r="E457" s="148">
        <v>100076.47058824</v>
      </c>
      <c r="F457" t="s">
        <v>249</v>
      </c>
      <c r="G457"/>
    </row>
    <row r="458" spans="1:7" ht="15.75">
      <c r="A458" t="str">
        <f t="shared" si="7"/>
        <v>Chavannes-le-VeyronBoisCHAUFF</v>
      </c>
      <c r="B458" s="148">
        <v>5475</v>
      </c>
      <c r="C458" s="148" t="s">
        <v>659</v>
      </c>
      <c r="D458" s="148" t="s">
        <v>66</v>
      </c>
      <c r="E458" s="148">
        <v>93433.960784310009</v>
      </c>
      <c r="F458" t="s">
        <v>249</v>
      </c>
      <c r="G458"/>
    </row>
    <row r="459" spans="1:7" ht="15.75">
      <c r="A459" t="str">
        <f t="shared" si="7"/>
        <v>Chavannes-le-VeyronGazCHAUFF</v>
      </c>
      <c r="B459" s="148">
        <v>5475</v>
      </c>
      <c r="C459" s="148" t="s">
        <v>659</v>
      </c>
      <c r="D459" s="148" t="s">
        <v>239</v>
      </c>
      <c r="E459" s="148">
        <v>569823.44272444001</v>
      </c>
      <c r="F459" t="s">
        <v>249</v>
      </c>
      <c r="G459"/>
    </row>
    <row r="460" spans="1:7" ht="15.75">
      <c r="A460" t="str">
        <f t="shared" si="7"/>
        <v>Chavannes-le-VeyronMazoutCHAUFF</v>
      </c>
      <c r="B460" s="148">
        <v>5475</v>
      </c>
      <c r="C460" s="148" t="s">
        <v>659</v>
      </c>
      <c r="D460" s="148" t="s">
        <v>70</v>
      </c>
      <c r="E460" s="148">
        <v>1901868.2352941202</v>
      </c>
      <c r="F460" t="s">
        <v>249</v>
      </c>
      <c r="G460"/>
    </row>
    <row r="461" spans="1:7" ht="15.75">
      <c r="A461" t="str">
        <f t="shared" si="7"/>
        <v>Chavannes-le-VeyronNon renseignéCHAUFF</v>
      </c>
      <c r="B461" s="148">
        <v>5475</v>
      </c>
      <c r="C461" s="148" t="s">
        <v>659</v>
      </c>
      <c r="D461" s="148" t="s">
        <v>696</v>
      </c>
      <c r="E461" s="148">
        <v>0</v>
      </c>
      <c r="F461" t="s">
        <v>249</v>
      </c>
      <c r="G461"/>
    </row>
    <row r="462" spans="1:7" ht="15.75">
      <c r="A462" t="str">
        <f t="shared" si="7"/>
        <v>Chavannes-le-VeyronPACCHAUFF</v>
      </c>
      <c r="B462" s="148">
        <v>5475</v>
      </c>
      <c r="C462" s="148" t="s">
        <v>659</v>
      </c>
      <c r="D462" s="148" t="s">
        <v>69</v>
      </c>
      <c r="E462" s="148">
        <v>27806.956521740001</v>
      </c>
      <c r="F462" t="s">
        <v>249</v>
      </c>
      <c r="G462"/>
    </row>
    <row r="463" spans="1:7" ht="15.75">
      <c r="A463" t="str">
        <f t="shared" si="7"/>
        <v>Chavannes-le-VeyronElectricitéCHAUFF</v>
      </c>
      <c r="B463" s="148">
        <v>5475</v>
      </c>
      <c r="C463" s="148" t="s">
        <v>659</v>
      </c>
      <c r="D463" s="148" t="s">
        <v>97</v>
      </c>
      <c r="E463" s="148" t="e">
        <v>#N/A</v>
      </c>
      <c r="F463" t="s">
        <v>249</v>
      </c>
      <c r="G463"/>
    </row>
    <row r="464" spans="1:7" ht="15.75">
      <c r="A464" t="str">
        <f t="shared" si="7"/>
        <v>Chavannes-le-VeyronSolaireCHAUFF</v>
      </c>
      <c r="B464" s="148">
        <v>5475</v>
      </c>
      <c r="C464" s="148" t="s">
        <v>659</v>
      </c>
      <c r="D464" s="148" t="s">
        <v>240</v>
      </c>
      <c r="E464" s="148" t="e">
        <v>#N/A</v>
      </c>
      <c r="F464" t="s">
        <v>249</v>
      </c>
      <c r="G464"/>
    </row>
    <row r="465" spans="1:7" ht="15.75">
      <c r="A465" t="str">
        <f t="shared" si="7"/>
        <v>Chavannes-près-RenensBoisCHAUFF</v>
      </c>
      <c r="B465" s="148">
        <v>5627</v>
      </c>
      <c r="C465" s="148" t="s">
        <v>682</v>
      </c>
      <c r="D465" s="148" t="s">
        <v>66</v>
      </c>
      <c r="E465" s="148">
        <v>115407.15294118</v>
      </c>
      <c r="F465" t="s">
        <v>249</v>
      </c>
      <c r="G465"/>
    </row>
    <row r="466" spans="1:7" ht="15.75">
      <c r="A466" t="str">
        <f t="shared" si="7"/>
        <v>Chavannes-près-RenensCADCHAUFF</v>
      </c>
      <c r="B466" s="148">
        <v>5627</v>
      </c>
      <c r="C466" s="148" t="s">
        <v>682</v>
      </c>
      <c r="D466" s="148" t="s">
        <v>242</v>
      </c>
      <c r="E466" s="148">
        <v>1118017.2</v>
      </c>
      <c r="F466" t="s">
        <v>249</v>
      </c>
      <c r="G466"/>
    </row>
    <row r="467" spans="1:7" ht="15.75">
      <c r="A467" t="str">
        <f t="shared" si="7"/>
        <v>Chavannes-près-RenensElectricitéCHAUFF</v>
      </c>
      <c r="B467" s="148">
        <v>5627</v>
      </c>
      <c r="C467" s="148" t="s">
        <v>682</v>
      </c>
      <c r="D467" s="148" t="s">
        <v>97</v>
      </c>
      <c r="E467" s="148">
        <v>35912.25806452</v>
      </c>
      <c r="F467" t="s">
        <v>249</v>
      </c>
      <c r="G467"/>
    </row>
    <row r="468" spans="1:7" ht="15.75">
      <c r="A468" t="str">
        <f t="shared" si="7"/>
        <v>Chavannes-près-RenensGazCHAUFF</v>
      </c>
      <c r="B468" s="148">
        <v>5627</v>
      </c>
      <c r="C468" s="148" t="s">
        <v>682</v>
      </c>
      <c r="D468" s="148" t="s">
        <v>239</v>
      </c>
      <c r="E468" s="148">
        <v>31447174.379566595</v>
      </c>
      <c r="F468" t="s">
        <v>249</v>
      </c>
      <c r="G468"/>
    </row>
    <row r="469" spans="1:7" ht="15.75">
      <c r="A469" t="str">
        <f t="shared" si="7"/>
        <v>Chavannes-près-RenensMazoutCHAUFF</v>
      </c>
      <c r="B469" s="148">
        <v>5627</v>
      </c>
      <c r="C469" s="148" t="s">
        <v>682</v>
      </c>
      <c r="D469" s="148" t="s">
        <v>70</v>
      </c>
      <c r="E469" s="148">
        <v>20693577.7058824</v>
      </c>
      <c r="F469" t="s">
        <v>249</v>
      </c>
      <c r="G469"/>
    </row>
    <row r="470" spans="1:7" ht="15.75">
      <c r="A470" t="str">
        <f t="shared" si="7"/>
        <v>Chavannes-près-RenensNon renseignéCHAUFF</v>
      </c>
      <c r="B470" s="148">
        <v>5627</v>
      </c>
      <c r="C470" s="148" t="s">
        <v>682</v>
      </c>
      <c r="D470" s="148" t="s">
        <v>696</v>
      </c>
      <c r="E470" s="148">
        <v>0</v>
      </c>
      <c r="F470" t="s">
        <v>249</v>
      </c>
      <c r="G470"/>
    </row>
    <row r="471" spans="1:7" ht="15.75">
      <c r="A471" t="str">
        <f t="shared" si="7"/>
        <v>Chavannes-près-RenensPACCHAUFF</v>
      </c>
      <c r="B471" s="148">
        <v>5627</v>
      </c>
      <c r="C471" s="148" t="s">
        <v>682</v>
      </c>
      <c r="D471" s="148" t="s">
        <v>69</v>
      </c>
      <c r="E471" s="148">
        <v>137659.25925926</v>
      </c>
      <c r="F471" t="s">
        <v>249</v>
      </c>
      <c r="G471"/>
    </row>
    <row r="472" spans="1:7" ht="15.75">
      <c r="A472" t="str">
        <f t="shared" si="7"/>
        <v>Chavannes-près-RenensAutre agent énergétiqueCHAUFF</v>
      </c>
      <c r="B472" s="148">
        <v>5627</v>
      </c>
      <c r="C472" s="148" t="s">
        <v>682</v>
      </c>
      <c r="D472" s="148" t="s">
        <v>245</v>
      </c>
      <c r="E472" s="148" t="e">
        <v>#N/A</v>
      </c>
      <c r="F472" t="s">
        <v>249</v>
      </c>
      <c r="G472"/>
    </row>
    <row r="473" spans="1:7" ht="15.75">
      <c r="A473" t="str">
        <f t="shared" si="7"/>
        <v>Chavannes-près-RenensSolaireCHAUFF</v>
      </c>
      <c r="B473" s="148">
        <v>5627</v>
      </c>
      <c r="C473" s="148" t="s">
        <v>682</v>
      </c>
      <c r="D473" s="148" t="s">
        <v>240</v>
      </c>
      <c r="E473" s="148" t="e">
        <v>#N/A</v>
      </c>
      <c r="F473" t="s">
        <v>249</v>
      </c>
      <c r="G473"/>
    </row>
    <row r="474" spans="1:7" ht="15.75">
      <c r="A474" t="str">
        <f t="shared" si="7"/>
        <v>Chavannes-sur-MoudonBoisCHAUFF</v>
      </c>
      <c r="B474" s="148">
        <v>5665</v>
      </c>
      <c r="C474" s="148" t="s">
        <v>658</v>
      </c>
      <c r="D474" s="148" t="s">
        <v>66</v>
      </c>
      <c r="E474" s="148">
        <v>858535.1717647101</v>
      </c>
      <c r="F474" t="s">
        <v>249</v>
      </c>
      <c r="G474"/>
    </row>
    <row r="475" spans="1:7" ht="15.75">
      <c r="A475" t="str">
        <f t="shared" si="7"/>
        <v>Chavannes-sur-MoudonElectricitéCHAUFF</v>
      </c>
      <c r="B475" s="148">
        <v>5665</v>
      </c>
      <c r="C475" s="148" t="s">
        <v>658</v>
      </c>
      <c r="D475" s="148" t="s">
        <v>97</v>
      </c>
      <c r="E475" s="148">
        <v>342797.46236559004</v>
      </c>
      <c r="F475" t="s">
        <v>249</v>
      </c>
      <c r="G475"/>
    </row>
    <row r="476" spans="1:7" ht="15.75">
      <c r="A476" t="str">
        <f t="shared" si="7"/>
        <v>Chavannes-sur-MoudonGazCHAUFF</v>
      </c>
      <c r="B476" s="148">
        <v>5665</v>
      </c>
      <c r="C476" s="148" t="s">
        <v>658</v>
      </c>
      <c r="D476" s="148" t="s">
        <v>239</v>
      </c>
      <c r="E476" s="148">
        <v>56202.400000000009</v>
      </c>
      <c r="F476" t="s">
        <v>249</v>
      </c>
      <c r="G476"/>
    </row>
    <row r="477" spans="1:7" ht="15.75">
      <c r="A477" t="str">
        <f t="shared" si="7"/>
        <v>Chavannes-sur-MoudonMazoutCHAUFF</v>
      </c>
      <c r="B477" s="148">
        <v>5665</v>
      </c>
      <c r="C477" s="148" t="s">
        <v>658</v>
      </c>
      <c r="D477" s="148" t="s">
        <v>70</v>
      </c>
      <c r="E477" s="148">
        <v>2143894.8235294302</v>
      </c>
      <c r="F477" t="s">
        <v>249</v>
      </c>
      <c r="G477"/>
    </row>
    <row r="478" spans="1:7" ht="15.75">
      <c r="A478" t="str">
        <f t="shared" si="7"/>
        <v>Chavannes-sur-MoudonNon renseignéCHAUFF</v>
      </c>
      <c r="B478" s="148">
        <v>5665</v>
      </c>
      <c r="C478" s="148" t="s">
        <v>658</v>
      </c>
      <c r="D478" s="148" t="s">
        <v>696</v>
      </c>
      <c r="E478" s="148">
        <v>0</v>
      </c>
      <c r="F478" t="s">
        <v>249</v>
      </c>
      <c r="G478"/>
    </row>
    <row r="479" spans="1:7" ht="15.75">
      <c r="A479" t="str">
        <f t="shared" si="7"/>
        <v>Chavannes-sur-MoudonPACCHAUFF</v>
      </c>
      <c r="B479" s="148">
        <v>5665</v>
      </c>
      <c r="C479" s="148" t="s">
        <v>658</v>
      </c>
      <c r="D479" s="148" t="s">
        <v>69</v>
      </c>
      <c r="E479" s="148">
        <v>142760.88436965999</v>
      </c>
      <c r="F479" t="s">
        <v>249</v>
      </c>
      <c r="G479"/>
    </row>
    <row r="480" spans="1:7" ht="15.75">
      <c r="A480" t="str">
        <f t="shared" si="7"/>
        <v>Chavannes-sur-MoudonSolaireCHAUFF</v>
      </c>
      <c r="B480" s="148">
        <v>5665</v>
      </c>
      <c r="C480" s="148" t="s">
        <v>658</v>
      </c>
      <c r="D480" s="148" t="s">
        <v>240</v>
      </c>
      <c r="E480" s="148" t="e">
        <v>#N/A</v>
      </c>
      <c r="F480" t="s">
        <v>249</v>
      </c>
      <c r="G480"/>
    </row>
    <row r="481" spans="1:7" ht="15.75">
      <c r="A481" t="str">
        <f t="shared" si="7"/>
        <v>ChavornayAutre agent énergétiqueCHAUFF</v>
      </c>
      <c r="B481" s="148">
        <v>5749</v>
      </c>
      <c r="C481" s="148" t="s">
        <v>427</v>
      </c>
      <c r="D481" s="148" t="s">
        <v>245</v>
      </c>
      <c r="E481" s="148">
        <v>37355.294117650003</v>
      </c>
      <c r="F481" t="s">
        <v>249</v>
      </c>
      <c r="G481"/>
    </row>
    <row r="482" spans="1:7" ht="15.75">
      <c r="A482" t="str">
        <f t="shared" si="7"/>
        <v>ChavornayBoisCHAUFF</v>
      </c>
      <c r="B482" s="148">
        <v>5749</v>
      </c>
      <c r="C482" s="148" t="s">
        <v>427</v>
      </c>
      <c r="D482" s="148" t="s">
        <v>66</v>
      </c>
      <c r="E482" s="148">
        <v>4484749.0913725402</v>
      </c>
      <c r="F482" t="s">
        <v>249</v>
      </c>
      <c r="G482"/>
    </row>
    <row r="483" spans="1:7" ht="15.75">
      <c r="A483" t="str">
        <f t="shared" si="7"/>
        <v>ChavornayCADCHAUFF</v>
      </c>
      <c r="B483" s="148">
        <v>5749</v>
      </c>
      <c r="C483" s="148" t="s">
        <v>427</v>
      </c>
      <c r="D483" s="148" t="s">
        <v>242</v>
      </c>
      <c r="E483" s="148">
        <v>376254.35999999993</v>
      </c>
      <c r="F483" t="s">
        <v>249</v>
      </c>
      <c r="G483"/>
    </row>
    <row r="484" spans="1:7" ht="15.75">
      <c r="A484" t="str">
        <f t="shared" si="7"/>
        <v>ChavornayElectricitéCHAUFF</v>
      </c>
      <c r="B484" s="148">
        <v>5749</v>
      </c>
      <c r="C484" s="148" t="s">
        <v>427</v>
      </c>
      <c r="D484" s="148" t="s">
        <v>97</v>
      </c>
      <c r="E484" s="148">
        <v>2613444.2150537595</v>
      </c>
      <c r="F484" t="s">
        <v>249</v>
      </c>
      <c r="G484"/>
    </row>
    <row r="485" spans="1:7" ht="15.75">
      <c r="A485" t="str">
        <f t="shared" si="7"/>
        <v>ChavornayGazCHAUFF</v>
      </c>
      <c r="B485" s="148">
        <v>5749</v>
      </c>
      <c r="C485" s="148" t="s">
        <v>427</v>
      </c>
      <c r="D485" s="148" t="s">
        <v>239</v>
      </c>
      <c r="E485" s="148">
        <v>22984235.801877771</v>
      </c>
      <c r="F485" t="s">
        <v>249</v>
      </c>
      <c r="G485"/>
    </row>
    <row r="486" spans="1:7" ht="15.75">
      <c r="A486" t="str">
        <f t="shared" si="7"/>
        <v>ChavornayMazoutCHAUFF</v>
      </c>
      <c r="B486" s="148">
        <v>5749</v>
      </c>
      <c r="C486" s="148" t="s">
        <v>427</v>
      </c>
      <c r="D486" s="148" t="s">
        <v>70</v>
      </c>
      <c r="E486" s="148">
        <v>14344614.917647045</v>
      </c>
      <c r="F486" t="s">
        <v>249</v>
      </c>
      <c r="G486"/>
    </row>
    <row r="487" spans="1:7" ht="15.75">
      <c r="A487" t="str">
        <f t="shared" si="7"/>
        <v>ChavornayNon renseignéCHAUFF</v>
      </c>
      <c r="B487" s="148">
        <v>5749</v>
      </c>
      <c r="C487" s="148" t="s">
        <v>427</v>
      </c>
      <c r="D487" s="148" t="s">
        <v>696</v>
      </c>
      <c r="E487" s="148">
        <v>0</v>
      </c>
      <c r="F487" t="s">
        <v>249</v>
      </c>
      <c r="G487"/>
    </row>
    <row r="488" spans="1:7" ht="15.75">
      <c r="A488" t="str">
        <f t="shared" si="7"/>
        <v>ChavornayPACCHAUFF</v>
      </c>
      <c r="B488" s="148">
        <v>5749</v>
      </c>
      <c r="C488" s="148" t="s">
        <v>427</v>
      </c>
      <c r="D488" s="148" t="s">
        <v>69</v>
      </c>
      <c r="E488" s="148">
        <v>683590.05333233031</v>
      </c>
      <c r="F488" t="s">
        <v>249</v>
      </c>
      <c r="G488"/>
    </row>
    <row r="489" spans="1:7" ht="15.75">
      <c r="A489" t="str">
        <f t="shared" si="7"/>
        <v>ChavornaySolaireCHAUFF</v>
      </c>
      <c r="B489" s="148">
        <v>5749</v>
      </c>
      <c r="C489" s="148" t="s">
        <v>427</v>
      </c>
      <c r="D489" s="148" t="s">
        <v>240</v>
      </c>
      <c r="E489" s="148">
        <v>13979</v>
      </c>
      <c r="F489" t="s">
        <v>249</v>
      </c>
      <c r="G489"/>
    </row>
    <row r="490" spans="1:7" ht="15.75">
      <c r="A490" t="str">
        <f t="shared" si="7"/>
        <v>Chêne-PâquierBoisCHAUFF</v>
      </c>
      <c r="B490" s="148">
        <v>5908</v>
      </c>
      <c r="C490" s="148" t="s">
        <v>657</v>
      </c>
      <c r="D490" s="148" t="s">
        <v>66</v>
      </c>
      <c r="E490" s="148">
        <v>798552.92235293018</v>
      </c>
      <c r="F490" t="s">
        <v>249</v>
      </c>
      <c r="G490"/>
    </row>
    <row r="491" spans="1:7" ht="15.75">
      <c r="A491" t="str">
        <f t="shared" si="7"/>
        <v>Chêne-PâquierCADCHAUFF</v>
      </c>
      <c r="B491" s="148">
        <v>5908</v>
      </c>
      <c r="C491" s="148" t="s">
        <v>657</v>
      </c>
      <c r="D491" s="148" t="s">
        <v>242</v>
      </c>
      <c r="E491" s="148">
        <v>103507.8</v>
      </c>
      <c r="F491" t="s">
        <v>249</v>
      </c>
      <c r="G491"/>
    </row>
    <row r="492" spans="1:7" ht="15.75">
      <c r="A492" t="str">
        <f t="shared" si="7"/>
        <v>Chêne-PâquierElectricitéCHAUFF</v>
      </c>
      <c r="B492" s="148">
        <v>5908</v>
      </c>
      <c r="C492" s="148" t="s">
        <v>657</v>
      </c>
      <c r="D492" s="148" t="s">
        <v>97</v>
      </c>
      <c r="E492" s="148">
        <v>76490.967741939996</v>
      </c>
      <c r="F492" t="s">
        <v>249</v>
      </c>
      <c r="G492"/>
    </row>
    <row r="493" spans="1:7" ht="15.75">
      <c r="A493" t="str">
        <f t="shared" si="7"/>
        <v>Chêne-PâquierGazCHAUFF</v>
      </c>
      <c r="B493" s="148">
        <v>5908</v>
      </c>
      <c r="C493" s="148" t="s">
        <v>657</v>
      </c>
      <c r="D493" s="148" t="s">
        <v>239</v>
      </c>
      <c r="E493" s="148">
        <v>167326.11764706002</v>
      </c>
      <c r="F493" t="s">
        <v>249</v>
      </c>
      <c r="G493"/>
    </row>
    <row r="494" spans="1:7" ht="15.75">
      <c r="A494" t="str">
        <f t="shared" si="7"/>
        <v>Chêne-PâquierMazoutCHAUFF</v>
      </c>
      <c r="B494" s="148">
        <v>5908</v>
      </c>
      <c r="C494" s="148" t="s">
        <v>657</v>
      </c>
      <c r="D494" s="148" t="s">
        <v>70</v>
      </c>
      <c r="E494" s="148">
        <v>1359060.5610859604</v>
      </c>
      <c r="F494" t="s">
        <v>249</v>
      </c>
      <c r="G494"/>
    </row>
    <row r="495" spans="1:7" ht="15.75">
      <c r="A495" t="str">
        <f t="shared" si="7"/>
        <v>Chêne-PâquierNon renseignéCHAUFF</v>
      </c>
      <c r="B495" s="148">
        <v>5908</v>
      </c>
      <c r="C495" s="148" t="s">
        <v>657</v>
      </c>
      <c r="D495" s="148" t="s">
        <v>696</v>
      </c>
      <c r="E495" s="148">
        <v>0</v>
      </c>
      <c r="F495" t="s">
        <v>249</v>
      </c>
      <c r="G495"/>
    </row>
    <row r="496" spans="1:7" ht="15.75">
      <c r="A496" t="str">
        <f t="shared" si="7"/>
        <v>Chêne-PâquierPACCHAUFF</v>
      </c>
      <c r="B496" s="148">
        <v>5908</v>
      </c>
      <c r="C496" s="148" t="s">
        <v>657</v>
      </c>
      <c r="D496" s="148" t="s">
        <v>69</v>
      </c>
      <c r="E496" s="148">
        <v>42904.814814819998</v>
      </c>
      <c r="F496" t="s">
        <v>249</v>
      </c>
      <c r="G496"/>
    </row>
    <row r="497" spans="1:7" ht="15.75">
      <c r="A497" t="str">
        <f t="shared" si="7"/>
        <v>Chêne-PâquierSolaireCHAUFF</v>
      </c>
      <c r="B497" s="148">
        <v>5908</v>
      </c>
      <c r="C497" s="148" t="s">
        <v>657</v>
      </c>
      <c r="D497" s="148" t="s">
        <v>240</v>
      </c>
      <c r="E497" s="148" t="e">
        <v>#N/A</v>
      </c>
      <c r="F497" t="s">
        <v>249</v>
      </c>
      <c r="G497"/>
    </row>
    <row r="498" spans="1:7" ht="15.75">
      <c r="A498" t="str">
        <f t="shared" si="7"/>
        <v>Cheseaux-NoréazAutre agent énergétiqueCHAUFF</v>
      </c>
      <c r="B498" s="148">
        <v>5909</v>
      </c>
      <c r="C498" s="148" t="s">
        <v>656</v>
      </c>
      <c r="D498" s="148" t="s">
        <v>245</v>
      </c>
      <c r="E498" s="148">
        <v>30210.823529419999</v>
      </c>
      <c r="F498" t="s">
        <v>249</v>
      </c>
      <c r="G498"/>
    </row>
    <row r="499" spans="1:7" ht="15.75">
      <c r="A499" t="str">
        <f t="shared" si="7"/>
        <v>Cheseaux-NoréazBoisCHAUFF</v>
      </c>
      <c r="B499" s="148">
        <v>5909</v>
      </c>
      <c r="C499" s="148" t="s">
        <v>656</v>
      </c>
      <c r="D499" s="148" t="s">
        <v>66</v>
      </c>
      <c r="E499" s="148">
        <v>1591015.9019608002</v>
      </c>
      <c r="F499" t="s">
        <v>249</v>
      </c>
      <c r="G499"/>
    </row>
    <row r="500" spans="1:7" ht="15.75">
      <c r="A500" t="str">
        <f t="shared" si="7"/>
        <v>Cheseaux-NoréazCADCHAUFF</v>
      </c>
      <c r="B500" s="148">
        <v>5909</v>
      </c>
      <c r="C500" s="148" t="s">
        <v>656</v>
      </c>
      <c r="D500" s="148" t="s">
        <v>242</v>
      </c>
      <c r="E500" s="148">
        <v>29975</v>
      </c>
      <c r="F500" t="s">
        <v>249</v>
      </c>
      <c r="G500"/>
    </row>
    <row r="501" spans="1:7" ht="15.75">
      <c r="A501" t="str">
        <f t="shared" si="7"/>
        <v>Cheseaux-NoréazElectricitéCHAUFF</v>
      </c>
      <c r="B501" s="148">
        <v>5909</v>
      </c>
      <c r="C501" s="148" t="s">
        <v>656</v>
      </c>
      <c r="D501" s="148" t="s">
        <v>97</v>
      </c>
      <c r="E501" s="148">
        <v>2076213.1182795502</v>
      </c>
      <c r="F501" t="s">
        <v>249</v>
      </c>
      <c r="G501"/>
    </row>
    <row r="502" spans="1:7" ht="15.75">
      <c r="A502" t="str">
        <f t="shared" si="7"/>
        <v>Cheseaux-NoréazGazCHAUFF</v>
      </c>
      <c r="B502" s="148">
        <v>5909</v>
      </c>
      <c r="C502" s="148" t="s">
        <v>656</v>
      </c>
      <c r="D502" s="148" t="s">
        <v>239</v>
      </c>
      <c r="E502" s="148">
        <v>726651.96284830978</v>
      </c>
      <c r="F502" t="s">
        <v>249</v>
      </c>
      <c r="G502"/>
    </row>
    <row r="503" spans="1:7" ht="15.75">
      <c r="A503" t="str">
        <f t="shared" si="7"/>
        <v>Cheseaux-NoréazMazoutCHAUFF</v>
      </c>
      <c r="B503" s="148">
        <v>5909</v>
      </c>
      <c r="C503" s="148" t="s">
        <v>656</v>
      </c>
      <c r="D503" s="148" t="s">
        <v>70</v>
      </c>
      <c r="E503" s="148">
        <v>3140049.9999999986</v>
      </c>
      <c r="F503" t="s">
        <v>249</v>
      </c>
      <c r="G503"/>
    </row>
    <row r="504" spans="1:7" ht="15.75">
      <c r="A504" t="str">
        <f t="shared" si="7"/>
        <v>Cheseaux-NoréazNon renseignéCHAUFF</v>
      </c>
      <c r="B504" s="148">
        <v>5909</v>
      </c>
      <c r="C504" s="148" t="s">
        <v>656</v>
      </c>
      <c r="D504" s="148" t="s">
        <v>696</v>
      </c>
      <c r="E504" s="148" t="e">
        <v>#N/A</v>
      </c>
      <c r="F504" t="s">
        <v>249</v>
      </c>
      <c r="G504"/>
    </row>
    <row r="505" spans="1:7" ht="15.75">
      <c r="A505" t="str">
        <f t="shared" si="7"/>
        <v>Cheseaux-NoréazPACCHAUFF</v>
      </c>
      <c r="B505" s="148">
        <v>5909</v>
      </c>
      <c r="C505" s="148" t="s">
        <v>656</v>
      </c>
      <c r="D505" s="148" t="s">
        <v>69</v>
      </c>
      <c r="E505" s="148">
        <v>409285.14092776005</v>
      </c>
      <c r="F505" t="s">
        <v>249</v>
      </c>
      <c r="G505"/>
    </row>
    <row r="506" spans="1:7" ht="15.75">
      <c r="A506" t="str">
        <f t="shared" si="7"/>
        <v>Cheseaux-NoréazSolaireCHAUFF</v>
      </c>
      <c r="B506" s="148">
        <v>5909</v>
      </c>
      <c r="C506" s="148" t="s">
        <v>656</v>
      </c>
      <c r="D506" s="148" t="s">
        <v>240</v>
      </c>
      <c r="E506" s="148">
        <v>4576</v>
      </c>
      <c r="F506" t="s">
        <v>249</v>
      </c>
      <c r="G506"/>
    </row>
    <row r="507" spans="1:7" ht="15.75">
      <c r="A507" t="str">
        <f t="shared" si="7"/>
        <v>Cheseaux-sur-LausanneBoisCHAUFF</v>
      </c>
      <c r="B507" s="148">
        <v>5582</v>
      </c>
      <c r="C507" s="148" t="s">
        <v>655</v>
      </c>
      <c r="D507" s="148" t="s">
        <v>66</v>
      </c>
      <c r="E507" s="148">
        <v>1603054.36078436</v>
      </c>
      <c r="F507" t="s">
        <v>249</v>
      </c>
      <c r="G507"/>
    </row>
    <row r="508" spans="1:7" ht="15.75">
      <c r="A508" t="str">
        <f t="shared" si="7"/>
        <v>Cheseaux-sur-LausanneElectricitéCHAUFF</v>
      </c>
      <c r="B508" s="148">
        <v>5582</v>
      </c>
      <c r="C508" s="148" t="s">
        <v>655</v>
      </c>
      <c r="D508" s="148" t="s">
        <v>97</v>
      </c>
      <c r="E508" s="148">
        <v>4141775.9139785101</v>
      </c>
      <c r="F508" t="s">
        <v>249</v>
      </c>
      <c r="G508"/>
    </row>
    <row r="509" spans="1:7" ht="15.75">
      <c r="A509" t="str">
        <f t="shared" si="7"/>
        <v>Cheseaux-sur-LausanneGazCHAUFF</v>
      </c>
      <c r="B509" s="148">
        <v>5582</v>
      </c>
      <c r="C509" s="148" t="s">
        <v>655</v>
      </c>
      <c r="D509" s="148" t="s">
        <v>239</v>
      </c>
      <c r="E509" s="148">
        <v>10255709.919504631</v>
      </c>
      <c r="F509" t="s">
        <v>249</v>
      </c>
      <c r="G509"/>
    </row>
    <row r="510" spans="1:7" ht="15.75">
      <c r="A510" t="str">
        <f t="shared" si="7"/>
        <v>Cheseaux-sur-LausanneMazoutCHAUFF</v>
      </c>
      <c r="B510" s="148">
        <v>5582</v>
      </c>
      <c r="C510" s="148" t="s">
        <v>655</v>
      </c>
      <c r="D510" s="148" t="s">
        <v>70</v>
      </c>
      <c r="E510" s="148">
        <v>17130281.870588291</v>
      </c>
      <c r="F510" t="s">
        <v>249</v>
      </c>
      <c r="G510"/>
    </row>
    <row r="511" spans="1:7" ht="15.75">
      <c r="A511" t="str">
        <f t="shared" si="7"/>
        <v>Cheseaux-sur-LausanneNon renseignéCHAUFF</v>
      </c>
      <c r="B511" s="148">
        <v>5582</v>
      </c>
      <c r="C511" s="148" t="s">
        <v>655</v>
      </c>
      <c r="D511" s="148" t="s">
        <v>696</v>
      </c>
      <c r="E511" s="148">
        <v>0</v>
      </c>
      <c r="F511" t="s">
        <v>249</v>
      </c>
      <c r="G511"/>
    </row>
    <row r="512" spans="1:7" ht="15.75">
      <c r="A512" t="str">
        <f t="shared" si="7"/>
        <v>Cheseaux-sur-LausannePACCHAUFF</v>
      </c>
      <c r="B512" s="148">
        <v>5582</v>
      </c>
      <c r="C512" s="148" t="s">
        <v>655</v>
      </c>
      <c r="D512" s="148" t="s">
        <v>69</v>
      </c>
      <c r="E512" s="148">
        <v>1921008.2601163595</v>
      </c>
      <c r="F512" t="s">
        <v>249</v>
      </c>
      <c r="G512"/>
    </row>
    <row r="513" spans="1:7" ht="15.75">
      <c r="A513" t="str">
        <f t="shared" si="7"/>
        <v>Cheseaux-sur-LausanneAutre agent énergétiqueCHAUFF</v>
      </c>
      <c r="B513" s="148">
        <v>5582</v>
      </c>
      <c r="C513" s="148" t="s">
        <v>655</v>
      </c>
      <c r="D513" s="148" t="s">
        <v>245</v>
      </c>
      <c r="E513" s="148" t="e">
        <v>#N/A</v>
      </c>
      <c r="F513" t="s">
        <v>249</v>
      </c>
      <c r="G513"/>
    </row>
    <row r="514" spans="1:7" ht="15.75">
      <c r="A514" t="str">
        <f t="shared" si="7"/>
        <v>Cheseaux-sur-LausanneSolaireCHAUFF</v>
      </c>
      <c r="B514" s="148">
        <v>5582</v>
      </c>
      <c r="C514" s="148" t="s">
        <v>655</v>
      </c>
      <c r="D514" s="148" t="s">
        <v>240</v>
      </c>
      <c r="E514" s="148" t="e">
        <v>#N/A</v>
      </c>
      <c r="F514" t="s">
        <v>249</v>
      </c>
      <c r="G514"/>
    </row>
    <row r="515" spans="1:7" ht="15.75">
      <c r="A515" t="str">
        <f t="shared" ref="A515:A578" si="8">_xlfn.CONCAT(C515,D515,F515)</f>
        <v>ChéserexBoisCHAUFF</v>
      </c>
      <c r="B515" s="148">
        <v>5709</v>
      </c>
      <c r="C515" s="148" t="s">
        <v>654</v>
      </c>
      <c r="D515" s="148" t="s">
        <v>66</v>
      </c>
      <c r="E515" s="148">
        <v>1016355.3599999902</v>
      </c>
      <c r="F515" t="s">
        <v>249</v>
      </c>
      <c r="G515"/>
    </row>
    <row r="516" spans="1:7" ht="15.75">
      <c r="A516" t="str">
        <f t="shared" si="8"/>
        <v>ChéserexCADCHAUFF</v>
      </c>
      <c r="B516" s="148">
        <v>5709</v>
      </c>
      <c r="C516" s="148" t="s">
        <v>654</v>
      </c>
      <c r="D516" s="148" t="s">
        <v>242</v>
      </c>
      <c r="E516" s="148">
        <v>358092.80000000005</v>
      </c>
      <c r="F516" t="s">
        <v>249</v>
      </c>
      <c r="G516"/>
    </row>
    <row r="517" spans="1:7" ht="15.75">
      <c r="A517" t="str">
        <f t="shared" si="8"/>
        <v>ChéserexElectricitéCHAUFF</v>
      </c>
      <c r="B517" s="148">
        <v>5709</v>
      </c>
      <c r="C517" s="148" t="s">
        <v>654</v>
      </c>
      <c r="D517" s="148" t="s">
        <v>97</v>
      </c>
      <c r="E517" s="148">
        <v>2779835.8602150101</v>
      </c>
      <c r="F517" t="s">
        <v>249</v>
      </c>
      <c r="G517"/>
    </row>
    <row r="518" spans="1:7" ht="15.75">
      <c r="A518" t="str">
        <f t="shared" si="8"/>
        <v>ChéserexGazCHAUFF</v>
      </c>
      <c r="B518" s="148">
        <v>5709</v>
      </c>
      <c r="C518" s="148" t="s">
        <v>654</v>
      </c>
      <c r="D518" s="148" t="s">
        <v>239</v>
      </c>
      <c r="E518" s="148">
        <v>219692.06191951002</v>
      </c>
      <c r="F518" t="s">
        <v>249</v>
      </c>
      <c r="G518"/>
    </row>
    <row r="519" spans="1:7" ht="15.75">
      <c r="A519" t="str">
        <f t="shared" si="8"/>
        <v>ChéserexMazoutCHAUFF</v>
      </c>
      <c r="B519" s="148">
        <v>5709</v>
      </c>
      <c r="C519" s="148" t="s">
        <v>654</v>
      </c>
      <c r="D519" s="148" t="s">
        <v>70</v>
      </c>
      <c r="E519" s="148">
        <v>9648136.941176502</v>
      </c>
      <c r="F519" t="s">
        <v>249</v>
      </c>
      <c r="G519"/>
    </row>
    <row r="520" spans="1:7" ht="15.75">
      <c r="A520" t="str">
        <f t="shared" si="8"/>
        <v>ChéserexNon renseignéCHAUFF</v>
      </c>
      <c r="B520" s="148">
        <v>5709</v>
      </c>
      <c r="C520" s="148" t="s">
        <v>654</v>
      </c>
      <c r="D520" s="148" t="s">
        <v>696</v>
      </c>
      <c r="E520" s="148">
        <v>0</v>
      </c>
      <c r="F520" t="s">
        <v>249</v>
      </c>
      <c r="G520"/>
    </row>
    <row r="521" spans="1:7" ht="15.75">
      <c r="A521" t="str">
        <f t="shared" si="8"/>
        <v>ChéserexPACCHAUFF</v>
      </c>
      <c r="B521" s="148">
        <v>5709</v>
      </c>
      <c r="C521" s="148" t="s">
        <v>654</v>
      </c>
      <c r="D521" s="148" t="s">
        <v>69</v>
      </c>
      <c r="E521" s="148">
        <v>360739.16538866999</v>
      </c>
      <c r="F521" t="s">
        <v>249</v>
      </c>
      <c r="G521"/>
    </row>
    <row r="522" spans="1:7" ht="15.75">
      <c r="A522" t="str">
        <f t="shared" si="8"/>
        <v>ChéserexSolaireCHAUFF</v>
      </c>
      <c r="B522" s="148">
        <v>5709</v>
      </c>
      <c r="C522" s="148" t="s">
        <v>654</v>
      </c>
      <c r="D522" s="148" t="s">
        <v>240</v>
      </c>
      <c r="E522" s="148" t="e">
        <v>#N/A</v>
      </c>
      <c r="F522" t="s">
        <v>249</v>
      </c>
      <c r="G522"/>
    </row>
    <row r="523" spans="1:7" ht="15.75">
      <c r="A523" t="str">
        <f t="shared" si="8"/>
        <v>ChesselBoisCHAUFF</v>
      </c>
      <c r="B523" s="148">
        <v>5403</v>
      </c>
      <c r="C523" s="148" t="s">
        <v>428</v>
      </c>
      <c r="D523" s="148" t="s">
        <v>66</v>
      </c>
      <c r="E523" s="148">
        <v>176382.93333334001</v>
      </c>
      <c r="F523" t="s">
        <v>249</v>
      </c>
      <c r="G523"/>
    </row>
    <row r="524" spans="1:7" ht="15.75">
      <c r="A524" t="str">
        <f t="shared" si="8"/>
        <v>ChesselElectricitéCHAUFF</v>
      </c>
      <c r="B524" s="148">
        <v>5403</v>
      </c>
      <c r="C524" s="148" t="s">
        <v>428</v>
      </c>
      <c r="D524" s="148" t="s">
        <v>97</v>
      </c>
      <c r="E524" s="148">
        <v>320529.46236558002</v>
      </c>
      <c r="F524" t="s">
        <v>249</v>
      </c>
      <c r="G524"/>
    </row>
    <row r="525" spans="1:7" ht="15.75">
      <c r="A525" t="str">
        <f t="shared" si="8"/>
        <v>ChesselGazCHAUFF</v>
      </c>
      <c r="B525" s="148">
        <v>5403</v>
      </c>
      <c r="C525" s="148" t="s">
        <v>428</v>
      </c>
      <c r="D525" s="148" t="s">
        <v>239</v>
      </c>
      <c r="E525" s="148">
        <v>898194.84829720017</v>
      </c>
      <c r="F525" t="s">
        <v>249</v>
      </c>
      <c r="G525"/>
    </row>
    <row r="526" spans="1:7" ht="15.75">
      <c r="A526" t="str">
        <f t="shared" si="8"/>
        <v>ChesselMazoutCHAUFF</v>
      </c>
      <c r="B526" s="148">
        <v>5403</v>
      </c>
      <c r="C526" s="148" t="s">
        <v>428</v>
      </c>
      <c r="D526" s="148" t="s">
        <v>70</v>
      </c>
      <c r="E526" s="148">
        <v>2637130.1176470201</v>
      </c>
      <c r="F526" t="s">
        <v>249</v>
      </c>
      <c r="G526"/>
    </row>
    <row r="527" spans="1:7" ht="15.75">
      <c r="A527" t="str">
        <f t="shared" si="8"/>
        <v>ChesselNon renseignéCHAUFF</v>
      </c>
      <c r="B527" s="148">
        <v>5403</v>
      </c>
      <c r="C527" s="148" t="s">
        <v>428</v>
      </c>
      <c r="D527" s="148" t="s">
        <v>696</v>
      </c>
      <c r="E527" s="148">
        <v>0</v>
      </c>
      <c r="F527" t="s">
        <v>249</v>
      </c>
      <c r="G527"/>
    </row>
    <row r="528" spans="1:7" ht="15.75">
      <c r="A528" t="str">
        <f t="shared" si="8"/>
        <v>ChesselPACCHAUFF</v>
      </c>
      <c r="B528" s="148">
        <v>5403</v>
      </c>
      <c r="C528" s="148" t="s">
        <v>428</v>
      </c>
      <c r="D528" s="148" t="s">
        <v>69</v>
      </c>
      <c r="E528" s="148">
        <v>124498.22926600998</v>
      </c>
      <c r="F528" t="s">
        <v>249</v>
      </c>
      <c r="G528"/>
    </row>
    <row r="529" spans="1:7" ht="15.75">
      <c r="A529" t="str">
        <f t="shared" si="8"/>
        <v>ChesselCADCHAUFF</v>
      </c>
      <c r="B529" s="148">
        <v>5403</v>
      </c>
      <c r="C529" s="148" t="s">
        <v>428</v>
      </c>
      <c r="D529" s="148" t="s">
        <v>242</v>
      </c>
      <c r="E529" s="148" t="e">
        <v>#N/A</v>
      </c>
      <c r="F529" t="s">
        <v>249</v>
      </c>
      <c r="G529"/>
    </row>
    <row r="530" spans="1:7" ht="15.75">
      <c r="A530" t="str">
        <f t="shared" si="8"/>
        <v>ChesselSolaireCHAUFF</v>
      </c>
      <c r="B530" s="148">
        <v>5403</v>
      </c>
      <c r="C530" s="148" t="s">
        <v>428</v>
      </c>
      <c r="D530" s="148" t="s">
        <v>240</v>
      </c>
      <c r="E530" s="148" t="e">
        <v>#N/A</v>
      </c>
      <c r="F530" t="s">
        <v>249</v>
      </c>
      <c r="G530"/>
    </row>
    <row r="531" spans="1:7" ht="15.75">
      <c r="A531" t="str">
        <f t="shared" si="8"/>
        <v>ChevillyBoisCHAUFF</v>
      </c>
      <c r="B531" s="148">
        <v>5476</v>
      </c>
      <c r="C531" s="148" t="s">
        <v>429</v>
      </c>
      <c r="D531" s="148" t="s">
        <v>66</v>
      </c>
      <c r="E531" s="148">
        <v>447972.38666667993</v>
      </c>
      <c r="F531" t="s">
        <v>249</v>
      </c>
      <c r="G531"/>
    </row>
    <row r="532" spans="1:7" ht="15.75">
      <c r="A532" t="str">
        <f t="shared" si="8"/>
        <v>ChevillyElectricitéCHAUFF</v>
      </c>
      <c r="B532" s="148">
        <v>5476</v>
      </c>
      <c r="C532" s="148" t="s">
        <v>429</v>
      </c>
      <c r="D532" s="148" t="s">
        <v>97</v>
      </c>
      <c r="E532" s="148">
        <v>411914.62365590991</v>
      </c>
      <c r="F532" t="s">
        <v>249</v>
      </c>
      <c r="G532"/>
    </row>
    <row r="533" spans="1:7" ht="15.75">
      <c r="A533" t="str">
        <f t="shared" si="8"/>
        <v>ChevillyGazCHAUFF</v>
      </c>
      <c r="B533" s="148">
        <v>5476</v>
      </c>
      <c r="C533" s="148" t="s">
        <v>429</v>
      </c>
      <c r="D533" s="148" t="s">
        <v>239</v>
      </c>
      <c r="E533" s="148">
        <v>68676.64643963</v>
      </c>
      <c r="F533" t="s">
        <v>249</v>
      </c>
      <c r="G533"/>
    </row>
    <row r="534" spans="1:7" ht="15.75">
      <c r="A534" t="str">
        <f t="shared" si="8"/>
        <v>ChevillyMazoutCHAUFF</v>
      </c>
      <c r="B534" s="148">
        <v>5476</v>
      </c>
      <c r="C534" s="148" t="s">
        <v>429</v>
      </c>
      <c r="D534" s="148" t="s">
        <v>70</v>
      </c>
      <c r="E534" s="148">
        <v>2400617.7323852503</v>
      </c>
      <c r="F534" t="s">
        <v>249</v>
      </c>
      <c r="G534"/>
    </row>
    <row r="535" spans="1:7" ht="15.75">
      <c r="A535" t="str">
        <f t="shared" si="8"/>
        <v>ChevillyNon renseignéCHAUFF</v>
      </c>
      <c r="B535" s="148">
        <v>5476</v>
      </c>
      <c r="C535" s="148" t="s">
        <v>429</v>
      </c>
      <c r="D535" s="148" t="s">
        <v>696</v>
      </c>
      <c r="E535" s="148">
        <v>0</v>
      </c>
      <c r="F535" t="s">
        <v>249</v>
      </c>
      <c r="G535"/>
    </row>
    <row r="536" spans="1:7" ht="15.75">
      <c r="A536" t="str">
        <f t="shared" si="8"/>
        <v>ChevillyPACCHAUFF</v>
      </c>
      <c r="B536" s="148">
        <v>5476</v>
      </c>
      <c r="C536" s="148" t="s">
        <v>429</v>
      </c>
      <c r="D536" s="148" t="s">
        <v>69</v>
      </c>
      <c r="E536" s="148">
        <v>151145.26247988001</v>
      </c>
      <c r="F536" t="s">
        <v>249</v>
      </c>
      <c r="G536"/>
    </row>
    <row r="537" spans="1:7" ht="15.75">
      <c r="A537" t="str">
        <f t="shared" si="8"/>
        <v>ChevillySolaireCHAUFF</v>
      </c>
      <c r="B537" s="148">
        <v>5476</v>
      </c>
      <c r="C537" s="148" t="s">
        <v>429</v>
      </c>
      <c r="D537" s="148" t="s">
        <v>240</v>
      </c>
      <c r="E537" s="148" t="e">
        <v>#N/A</v>
      </c>
      <c r="F537" t="s">
        <v>249</v>
      </c>
      <c r="G537"/>
    </row>
    <row r="538" spans="1:7" ht="15.75">
      <c r="A538" t="str">
        <f t="shared" si="8"/>
        <v>ChevrouxBoisCHAUFF</v>
      </c>
      <c r="B538" s="148">
        <v>5813</v>
      </c>
      <c r="C538" s="148" t="s">
        <v>430</v>
      </c>
      <c r="D538" s="148" t="s">
        <v>66</v>
      </c>
      <c r="E538" s="148">
        <v>1028610.9490195903</v>
      </c>
      <c r="F538" t="s">
        <v>249</v>
      </c>
      <c r="G538"/>
    </row>
    <row r="539" spans="1:7" ht="15.75">
      <c r="A539" t="str">
        <f t="shared" si="8"/>
        <v>ChevrouxElectricitéCHAUFF</v>
      </c>
      <c r="B539" s="148">
        <v>5813</v>
      </c>
      <c r="C539" s="148" t="s">
        <v>430</v>
      </c>
      <c r="D539" s="148" t="s">
        <v>97</v>
      </c>
      <c r="E539" s="148">
        <v>929971.61290325015</v>
      </c>
      <c r="F539" t="s">
        <v>249</v>
      </c>
      <c r="G539"/>
    </row>
    <row r="540" spans="1:7" ht="15.75">
      <c r="A540" t="str">
        <f t="shared" si="8"/>
        <v>ChevrouxGazCHAUFF</v>
      </c>
      <c r="B540" s="148">
        <v>5813</v>
      </c>
      <c r="C540" s="148" t="s">
        <v>430</v>
      </c>
      <c r="D540" s="148" t="s">
        <v>239</v>
      </c>
      <c r="E540" s="148">
        <v>209910.72445820001</v>
      </c>
      <c r="F540" t="s">
        <v>249</v>
      </c>
      <c r="G540"/>
    </row>
    <row r="541" spans="1:7" ht="15.75">
      <c r="A541" t="str">
        <f t="shared" si="8"/>
        <v>ChevrouxMazoutCHAUFF</v>
      </c>
      <c r="B541" s="148">
        <v>5813</v>
      </c>
      <c r="C541" s="148" t="s">
        <v>430</v>
      </c>
      <c r="D541" s="148" t="s">
        <v>70</v>
      </c>
      <c r="E541" s="148">
        <v>4349489.0588235995</v>
      </c>
      <c r="F541" t="s">
        <v>249</v>
      </c>
      <c r="G541"/>
    </row>
    <row r="542" spans="1:7" ht="15.75">
      <c r="A542" t="str">
        <f t="shared" si="8"/>
        <v>ChevrouxNon renseignéCHAUFF</v>
      </c>
      <c r="B542" s="148">
        <v>5813</v>
      </c>
      <c r="C542" s="148" t="s">
        <v>430</v>
      </c>
      <c r="D542" s="148" t="s">
        <v>696</v>
      </c>
      <c r="E542" s="148">
        <v>0</v>
      </c>
      <c r="F542" t="s">
        <v>249</v>
      </c>
      <c r="G542"/>
    </row>
    <row r="543" spans="1:7" ht="15.75">
      <c r="A543" t="str">
        <f t="shared" si="8"/>
        <v>ChevrouxPACCHAUFF</v>
      </c>
      <c r="B543" s="148">
        <v>5813</v>
      </c>
      <c r="C543" s="148" t="s">
        <v>430</v>
      </c>
      <c r="D543" s="148" t="s">
        <v>69</v>
      </c>
      <c r="E543" s="148">
        <v>386593.87847139005</v>
      </c>
      <c r="F543" t="s">
        <v>249</v>
      </c>
      <c r="G543"/>
    </row>
    <row r="544" spans="1:7" ht="15.75">
      <c r="A544" t="str">
        <f t="shared" si="8"/>
        <v>ChevrouxAutre agent énergétiqueCHAUFF</v>
      </c>
      <c r="B544" s="148">
        <v>5813</v>
      </c>
      <c r="C544" s="148" t="s">
        <v>430</v>
      </c>
      <c r="D544" s="148" t="s">
        <v>245</v>
      </c>
      <c r="E544" s="148" t="e">
        <v>#N/A</v>
      </c>
      <c r="F544" t="s">
        <v>249</v>
      </c>
      <c r="G544"/>
    </row>
    <row r="545" spans="1:7" ht="15.75">
      <c r="A545" t="str">
        <f t="shared" si="8"/>
        <v>ChevrouxSolaireCHAUFF</v>
      </c>
      <c r="B545" s="148">
        <v>5813</v>
      </c>
      <c r="C545" s="148" t="s">
        <v>430</v>
      </c>
      <c r="D545" s="148" t="s">
        <v>240</v>
      </c>
      <c r="E545" s="148" t="e">
        <v>#N/A</v>
      </c>
      <c r="F545" t="s">
        <v>249</v>
      </c>
      <c r="G545"/>
    </row>
    <row r="546" spans="1:7" ht="15.75">
      <c r="A546" t="str">
        <f t="shared" si="8"/>
        <v>ChexbresBoisCHAUFF</v>
      </c>
      <c r="B546" s="148">
        <v>5601</v>
      </c>
      <c r="C546" s="148" t="s">
        <v>431</v>
      </c>
      <c r="D546" s="148" t="s">
        <v>66</v>
      </c>
      <c r="E546" s="148">
        <v>544413.33333333</v>
      </c>
      <c r="F546" t="s">
        <v>249</v>
      </c>
      <c r="G546"/>
    </row>
    <row r="547" spans="1:7" ht="15.75">
      <c r="A547" t="str">
        <f t="shared" si="8"/>
        <v>ChexbresElectricitéCHAUFF</v>
      </c>
      <c r="B547" s="148">
        <v>5601</v>
      </c>
      <c r="C547" s="148" t="s">
        <v>431</v>
      </c>
      <c r="D547" s="148" t="s">
        <v>97</v>
      </c>
      <c r="E547" s="148">
        <v>357684.30107528006</v>
      </c>
      <c r="F547" t="s">
        <v>249</v>
      </c>
      <c r="G547"/>
    </row>
    <row r="548" spans="1:7" ht="15.75">
      <c r="A548" t="str">
        <f t="shared" si="8"/>
        <v>ChexbresGazCHAUFF</v>
      </c>
      <c r="B548" s="148">
        <v>5601</v>
      </c>
      <c r="C548" s="148" t="s">
        <v>431</v>
      </c>
      <c r="D548" s="148" t="s">
        <v>239</v>
      </c>
      <c r="E548" s="148">
        <v>13580284.239009315</v>
      </c>
      <c r="F548" t="s">
        <v>249</v>
      </c>
      <c r="G548"/>
    </row>
    <row r="549" spans="1:7" ht="15.75">
      <c r="A549" t="str">
        <f t="shared" si="8"/>
        <v>ChexbresMazoutCHAUFF</v>
      </c>
      <c r="B549" s="148">
        <v>5601</v>
      </c>
      <c r="C549" s="148" t="s">
        <v>431</v>
      </c>
      <c r="D549" s="148" t="s">
        <v>70</v>
      </c>
      <c r="E549" s="148">
        <v>8002958.5999999521</v>
      </c>
      <c r="F549" t="s">
        <v>249</v>
      </c>
      <c r="G549"/>
    </row>
    <row r="550" spans="1:7" ht="15.75">
      <c r="A550" t="str">
        <f t="shared" si="8"/>
        <v>ChexbresNon renseignéCHAUFF</v>
      </c>
      <c r="B550" s="148">
        <v>5601</v>
      </c>
      <c r="C550" s="148" t="s">
        <v>431</v>
      </c>
      <c r="D550" s="148" t="s">
        <v>696</v>
      </c>
      <c r="E550" s="148">
        <v>0</v>
      </c>
      <c r="F550" t="s">
        <v>249</v>
      </c>
      <c r="G550"/>
    </row>
    <row r="551" spans="1:7" ht="15.75">
      <c r="A551" t="str">
        <f t="shared" si="8"/>
        <v>ChexbresPACCHAUFF</v>
      </c>
      <c r="B551" s="148">
        <v>5601</v>
      </c>
      <c r="C551" s="148" t="s">
        <v>431</v>
      </c>
      <c r="D551" s="148" t="s">
        <v>69</v>
      </c>
      <c r="E551" s="148">
        <v>247256.79648023998</v>
      </c>
      <c r="F551" t="s">
        <v>249</v>
      </c>
      <c r="G551"/>
    </row>
    <row r="552" spans="1:7" ht="15.75">
      <c r="A552" t="str">
        <f t="shared" si="8"/>
        <v>ChexbresSolaireCHAUFF</v>
      </c>
      <c r="B552" s="148">
        <v>5601</v>
      </c>
      <c r="C552" s="148" t="s">
        <v>431</v>
      </c>
      <c r="D552" s="148" t="s">
        <v>240</v>
      </c>
      <c r="E552" s="148">
        <v>15504</v>
      </c>
      <c r="F552" t="s">
        <v>249</v>
      </c>
      <c r="G552"/>
    </row>
    <row r="553" spans="1:7" ht="15.75">
      <c r="A553" t="str">
        <f t="shared" si="8"/>
        <v>ChexbresAutre agent énergétiqueCHAUFF</v>
      </c>
      <c r="B553" s="148">
        <v>5601</v>
      </c>
      <c r="C553" s="148" t="s">
        <v>431</v>
      </c>
      <c r="D553" s="148" t="s">
        <v>245</v>
      </c>
      <c r="E553" s="148" t="e">
        <v>#N/A</v>
      </c>
      <c r="F553" t="s">
        <v>249</v>
      </c>
      <c r="G553"/>
    </row>
    <row r="554" spans="1:7" ht="15.75">
      <c r="A554" t="str">
        <f t="shared" si="8"/>
        <v>ChignyBoisCHAUFF</v>
      </c>
      <c r="B554" s="148">
        <v>5628</v>
      </c>
      <c r="C554" s="148" t="s">
        <v>432</v>
      </c>
      <c r="D554" s="148" t="s">
        <v>66</v>
      </c>
      <c r="E554" s="148">
        <v>49293.866666670001</v>
      </c>
      <c r="F554" t="s">
        <v>249</v>
      </c>
      <c r="G554"/>
    </row>
    <row r="555" spans="1:7" ht="15.75">
      <c r="A555" t="str">
        <f t="shared" si="8"/>
        <v>ChignyElectricitéCHAUFF</v>
      </c>
      <c r="B555" s="148">
        <v>5628</v>
      </c>
      <c r="C555" s="148" t="s">
        <v>432</v>
      </c>
      <c r="D555" s="148" t="s">
        <v>97</v>
      </c>
      <c r="E555" s="148">
        <v>665890.96774195996</v>
      </c>
      <c r="F555" t="s">
        <v>249</v>
      </c>
      <c r="G555"/>
    </row>
    <row r="556" spans="1:7" ht="15.75">
      <c r="A556" t="str">
        <f t="shared" si="8"/>
        <v>ChignyGazCHAUFF</v>
      </c>
      <c r="B556" s="148">
        <v>5628</v>
      </c>
      <c r="C556" s="148" t="s">
        <v>432</v>
      </c>
      <c r="D556" s="148" t="s">
        <v>239</v>
      </c>
      <c r="E556" s="148">
        <v>344320.40866873995</v>
      </c>
      <c r="F556" t="s">
        <v>249</v>
      </c>
      <c r="G556"/>
    </row>
    <row r="557" spans="1:7" ht="15.75">
      <c r="A557" t="str">
        <f t="shared" si="8"/>
        <v>ChignyMazoutCHAUFF</v>
      </c>
      <c r="B557" s="148">
        <v>5628</v>
      </c>
      <c r="C557" s="148" t="s">
        <v>432</v>
      </c>
      <c r="D557" s="148" t="s">
        <v>70</v>
      </c>
      <c r="E557" s="148">
        <v>2138307.2941176402</v>
      </c>
      <c r="F557" t="s">
        <v>249</v>
      </c>
      <c r="G557"/>
    </row>
    <row r="558" spans="1:7" ht="15.75">
      <c r="A558" t="str">
        <f t="shared" si="8"/>
        <v>ChignyNon renseignéCHAUFF</v>
      </c>
      <c r="B558" s="148">
        <v>5628</v>
      </c>
      <c r="C558" s="148" t="s">
        <v>432</v>
      </c>
      <c r="D558" s="148" t="s">
        <v>696</v>
      </c>
      <c r="E558" s="148">
        <v>0</v>
      </c>
      <c r="F558" t="s">
        <v>249</v>
      </c>
      <c r="G558"/>
    </row>
    <row r="559" spans="1:7" ht="15.75">
      <c r="A559" t="str">
        <f t="shared" si="8"/>
        <v>ChignyPACCHAUFF</v>
      </c>
      <c r="B559" s="148">
        <v>5628</v>
      </c>
      <c r="C559" s="148" t="s">
        <v>432</v>
      </c>
      <c r="D559" s="148" t="s">
        <v>69</v>
      </c>
      <c r="E559" s="148">
        <v>119364.51732378</v>
      </c>
      <c r="F559" t="s">
        <v>249</v>
      </c>
      <c r="G559"/>
    </row>
    <row r="560" spans="1:7" ht="15.75">
      <c r="A560" t="str">
        <f t="shared" si="8"/>
        <v>ChignySolaireCHAUFF</v>
      </c>
      <c r="B560" s="148">
        <v>5628</v>
      </c>
      <c r="C560" s="148" t="s">
        <v>432</v>
      </c>
      <c r="D560" s="148" t="s">
        <v>240</v>
      </c>
      <c r="E560" s="148">
        <v>22839</v>
      </c>
      <c r="F560" t="s">
        <v>249</v>
      </c>
      <c r="G560"/>
    </row>
    <row r="561" spans="1:7" ht="15.75">
      <c r="A561" t="str">
        <f t="shared" si="8"/>
        <v>ClarmontBoisCHAUFF</v>
      </c>
      <c r="B561" s="148">
        <v>5629</v>
      </c>
      <c r="C561" s="148" t="s">
        <v>238</v>
      </c>
      <c r="D561" s="148" t="s">
        <v>66</v>
      </c>
      <c r="E561" s="148">
        <v>239009.76346749999</v>
      </c>
      <c r="F561" t="s">
        <v>249</v>
      </c>
      <c r="G561"/>
    </row>
    <row r="562" spans="1:7" ht="15.75">
      <c r="A562" t="str">
        <f t="shared" si="8"/>
        <v>ClarmontElectricitéCHAUFF</v>
      </c>
      <c r="B562" s="148">
        <v>5629</v>
      </c>
      <c r="C562" s="148" t="s">
        <v>238</v>
      </c>
      <c r="D562" s="148" t="s">
        <v>97</v>
      </c>
      <c r="E562" s="148">
        <v>122902.3655914</v>
      </c>
      <c r="F562" t="s">
        <v>249</v>
      </c>
      <c r="G562"/>
    </row>
    <row r="563" spans="1:7" ht="15.75">
      <c r="A563" t="str">
        <f t="shared" si="8"/>
        <v>ClarmontGazCHAUFF</v>
      </c>
      <c r="B563" s="148">
        <v>5629</v>
      </c>
      <c r="C563" s="148" t="s">
        <v>238</v>
      </c>
      <c r="D563" s="148" t="s">
        <v>239</v>
      </c>
      <c r="E563" s="148">
        <v>797941.31269350986</v>
      </c>
      <c r="F563" t="s">
        <v>249</v>
      </c>
      <c r="G563"/>
    </row>
    <row r="564" spans="1:7" ht="15.75">
      <c r="A564" t="str">
        <f t="shared" si="8"/>
        <v>ClarmontMazoutCHAUFF</v>
      </c>
      <c r="B564" s="148">
        <v>5629</v>
      </c>
      <c r="C564" s="148" t="s">
        <v>238</v>
      </c>
      <c r="D564" s="148" t="s">
        <v>70</v>
      </c>
      <c r="E564" s="148">
        <v>761464.70588234998</v>
      </c>
      <c r="F564" t="s">
        <v>249</v>
      </c>
      <c r="G564"/>
    </row>
    <row r="565" spans="1:7" ht="15.75">
      <c r="A565" t="str">
        <f t="shared" si="8"/>
        <v>ClarmontNon renseignéCHAUFF</v>
      </c>
      <c r="B565" s="148">
        <v>5629</v>
      </c>
      <c r="C565" s="148" t="s">
        <v>238</v>
      </c>
      <c r="D565" s="148" t="s">
        <v>696</v>
      </c>
      <c r="E565" s="148" t="e">
        <v>#N/A</v>
      </c>
      <c r="F565" t="s">
        <v>249</v>
      </c>
      <c r="G565"/>
    </row>
    <row r="566" spans="1:7" ht="15.75">
      <c r="A566" t="str">
        <f t="shared" si="8"/>
        <v>ClarmontPACCHAUFF</v>
      </c>
      <c r="B566" s="148">
        <v>5629</v>
      </c>
      <c r="C566" s="148" t="s">
        <v>238</v>
      </c>
      <c r="D566" s="148" t="s">
        <v>69</v>
      </c>
      <c r="E566" s="148">
        <v>40806.814814819998</v>
      </c>
      <c r="F566" t="s">
        <v>249</v>
      </c>
      <c r="G566"/>
    </row>
    <row r="567" spans="1:7" ht="15.75">
      <c r="A567" t="str">
        <f t="shared" si="8"/>
        <v>ClarmontSolaireCHAUFF</v>
      </c>
      <c r="B567" s="148">
        <v>5629</v>
      </c>
      <c r="C567" s="148" t="s">
        <v>238</v>
      </c>
      <c r="D567" s="148" t="s">
        <v>240</v>
      </c>
      <c r="E567" s="148" t="e">
        <v>#N/A</v>
      </c>
      <c r="F567" t="s">
        <v>249</v>
      </c>
      <c r="G567"/>
    </row>
    <row r="568" spans="1:7" ht="15.75">
      <c r="A568" t="str">
        <f t="shared" si="8"/>
        <v>CoinsinsBoisCHAUFF</v>
      </c>
      <c r="B568" s="148">
        <v>5710</v>
      </c>
      <c r="C568" s="148" t="s">
        <v>433</v>
      </c>
      <c r="D568" s="148" t="s">
        <v>66</v>
      </c>
      <c r="E568" s="148">
        <v>835961.44000000006</v>
      </c>
      <c r="F568" t="s">
        <v>249</v>
      </c>
      <c r="G568"/>
    </row>
    <row r="569" spans="1:7" ht="15.75">
      <c r="A569" t="str">
        <f t="shared" si="8"/>
        <v>CoinsinsElectricitéCHAUFF</v>
      </c>
      <c r="B569" s="148">
        <v>5710</v>
      </c>
      <c r="C569" s="148" t="s">
        <v>433</v>
      </c>
      <c r="D569" s="148" t="s">
        <v>97</v>
      </c>
      <c r="E569" s="148">
        <v>1164544.3010752802</v>
      </c>
      <c r="F569" t="s">
        <v>249</v>
      </c>
      <c r="G569"/>
    </row>
    <row r="570" spans="1:7" ht="15.75">
      <c r="A570" t="str">
        <f t="shared" si="8"/>
        <v>CoinsinsMazoutCHAUFF</v>
      </c>
      <c r="B570" s="148">
        <v>5710</v>
      </c>
      <c r="C570" s="148" t="s">
        <v>433</v>
      </c>
      <c r="D570" s="148" t="s">
        <v>70</v>
      </c>
      <c r="E570" s="148">
        <v>3419623.1529411497</v>
      </c>
      <c r="F570" t="s">
        <v>249</v>
      </c>
      <c r="G570"/>
    </row>
    <row r="571" spans="1:7" ht="15.75">
      <c r="A571" t="str">
        <f t="shared" si="8"/>
        <v>CoinsinsNon renseignéCHAUFF</v>
      </c>
      <c r="B571" s="148">
        <v>5710</v>
      </c>
      <c r="C571" s="148" t="s">
        <v>433</v>
      </c>
      <c r="D571" s="148" t="s">
        <v>696</v>
      </c>
      <c r="E571" s="148">
        <v>0</v>
      </c>
      <c r="F571" t="s">
        <v>249</v>
      </c>
      <c r="G571"/>
    </row>
    <row r="572" spans="1:7" ht="15.75">
      <c r="A572" t="str">
        <f t="shared" si="8"/>
        <v>CoinsinsPACCHAUFF</v>
      </c>
      <c r="B572" s="148">
        <v>5710</v>
      </c>
      <c r="C572" s="148" t="s">
        <v>433</v>
      </c>
      <c r="D572" s="148" t="s">
        <v>69</v>
      </c>
      <c r="E572" s="148">
        <v>168376.34460546999</v>
      </c>
      <c r="F572" t="s">
        <v>249</v>
      </c>
      <c r="G572"/>
    </row>
    <row r="573" spans="1:7" ht="15.75">
      <c r="A573" t="str">
        <f t="shared" si="8"/>
        <v>CoinsinsGazCHAUFF</v>
      </c>
      <c r="B573" s="148">
        <v>5710</v>
      </c>
      <c r="C573" s="148" t="s">
        <v>433</v>
      </c>
      <c r="D573" s="148" t="s">
        <v>239</v>
      </c>
      <c r="E573" s="148" t="e">
        <v>#N/A</v>
      </c>
      <c r="F573" t="s">
        <v>249</v>
      </c>
      <c r="G573"/>
    </row>
    <row r="574" spans="1:7" ht="15.75">
      <c r="A574" t="str">
        <f t="shared" si="8"/>
        <v>CoinsinsSolaireCHAUFF</v>
      </c>
      <c r="B574" s="148">
        <v>5710</v>
      </c>
      <c r="C574" s="148" t="s">
        <v>433</v>
      </c>
      <c r="D574" s="148" t="s">
        <v>240</v>
      </c>
      <c r="E574" s="148" t="e">
        <v>#N/A</v>
      </c>
      <c r="F574" t="s">
        <v>249</v>
      </c>
      <c r="G574"/>
    </row>
    <row r="575" spans="1:7" ht="15.75">
      <c r="A575" t="str">
        <f t="shared" si="8"/>
        <v>CommugnyAutre agent énergétiqueCHAUFF</v>
      </c>
      <c r="B575" s="148">
        <v>5711</v>
      </c>
      <c r="C575" s="148" t="s">
        <v>434</v>
      </c>
      <c r="D575" s="148" t="s">
        <v>245</v>
      </c>
      <c r="E575" s="148">
        <v>108626.82352941</v>
      </c>
      <c r="F575" t="s">
        <v>249</v>
      </c>
      <c r="G575"/>
    </row>
    <row r="576" spans="1:7" ht="15.75">
      <c r="A576" t="str">
        <f t="shared" si="8"/>
        <v>CommugnyBoisCHAUFF</v>
      </c>
      <c r="B576" s="148">
        <v>5711</v>
      </c>
      <c r="C576" s="148" t="s">
        <v>434</v>
      </c>
      <c r="D576" s="148" t="s">
        <v>66</v>
      </c>
      <c r="E576" s="148">
        <v>441860.26666666998</v>
      </c>
      <c r="F576" t="s">
        <v>249</v>
      </c>
      <c r="G576"/>
    </row>
    <row r="577" spans="1:7" ht="15.75">
      <c r="A577" t="str">
        <f t="shared" si="8"/>
        <v>CommugnyCADCHAUFF</v>
      </c>
      <c r="B577" s="148">
        <v>5711</v>
      </c>
      <c r="C577" s="148" t="s">
        <v>434</v>
      </c>
      <c r="D577" s="148" t="s">
        <v>242</v>
      </c>
      <c r="E577" s="148">
        <v>84738</v>
      </c>
      <c r="F577" t="s">
        <v>249</v>
      </c>
      <c r="G577"/>
    </row>
    <row r="578" spans="1:7" ht="15.75">
      <c r="A578" t="str">
        <f t="shared" si="8"/>
        <v>CommugnyElectricitéCHAUFF</v>
      </c>
      <c r="B578" s="148">
        <v>5711</v>
      </c>
      <c r="C578" s="148" t="s">
        <v>434</v>
      </c>
      <c r="D578" s="148" t="s">
        <v>97</v>
      </c>
      <c r="E578" s="148">
        <v>8317144.0322580608</v>
      </c>
      <c r="F578" t="s">
        <v>249</v>
      </c>
      <c r="G578"/>
    </row>
    <row r="579" spans="1:7" ht="15.75">
      <c r="A579" t="str">
        <f t="shared" ref="A579:A642" si="9">_xlfn.CONCAT(C579,D579,F579)</f>
        <v>CommugnyGazCHAUFF</v>
      </c>
      <c r="B579" s="148">
        <v>5711</v>
      </c>
      <c r="C579" s="148" t="s">
        <v>434</v>
      </c>
      <c r="D579" s="148" t="s">
        <v>239</v>
      </c>
      <c r="E579" s="148">
        <v>639222.30402479018</v>
      </c>
      <c r="F579" t="s">
        <v>249</v>
      </c>
      <c r="G579"/>
    </row>
    <row r="580" spans="1:7" ht="15.75">
      <c r="A580" t="str">
        <f t="shared" si="9"/>
        <v>CommugnyMazoutCHAUFF</v>
      </c>
      <c r="B580" s="148">
        <v>5711</v>
      </c>
      <c r="C580" s="148" t="s">
        <v>434</v>
      </c>
      <c r="D580" s="148" t="s">
        <v>70</v>
      </c>
      <c r="E580" s="148">
        <v>15417946.895927561</v>
      </c>
      <c r="F580" t="s">
        <v>249</v>
      </c>
      <c r="G580"/>
    </row>
    <row r="581" spans="1:7" ht="15.75">
      <c r="A581" t="str">
        <f t="shared" si="9"/>
        <v>CommugnyNon renseignéCHAUFF</v>
      </c>
      <c r="B581" s="148">
        <v>5711</v>
      </c>
      <c r="C581" s="148" t="s">
        <v>434</v>
      </c>
      <c r="D581" s="148" t="s">
        <v>696</v>
      </c>
      <c r="E581" s="148">
        <v>0</v>
      </c>
      <c r="F581" t="s">
        <v>249</v>
      </c>
      <c r="G581"/>
    </row>
    <row r="582" spans="1:7" ht="15.75">
      <c r="A582" t="str">
        <f t="shared" si="9"/>
        <v>CommugnyPACCHAUFF</v>
      </c>
      <c r="B582" s="148">
        <v>5711</v>
      </c>
      <c r="C582" s="148" t="s">
        <v>434</v>
      </c>
      <c r="D582" s="148" t="s">
        <v>69</v>
      </c>
      <c r="E582" s="148">
        <v>1418068.24747468</v>
      </c>
      <c r="F582" t="s">
        <v>249</v>
      </c>
      <c r="G582"/>
    </row>
    <row r="583" spans="1:7" ht="15.75">
      <c r="A583" t="str">
        <f t="shared" si="9"/>
        <v>CommugnySolaireCHAUFF</v>
      </c>
      <c r="B583" s="148">
        <v>5711</v>
      </c>
      <c r="C583" s="148" t="s">
        <v>434</v>
      </c>
      <c r="D583" s="148" t="s">
        <v>240</v>
      </c>
      <c r="E583" s="148" t="e">
        <v>#N/A</v>
      </c>
      <c r="F583" t="s">
        <v>249</v>
      </c>
      <c r="G583"/>
    </row>
    <row r="584" spans="1:7" ht="15.75">
      <c r="A584" t="str">
        <f t="shared" si="9"/>
        <v>ConciseAutre agent énergétiqueCHAUFF</v>
      </c>
      <c r="B584" s="148">
        <v>5554</v>
      </c>
      <c r="C584" s="148" t="s">
        <v>435</v>
      </c>
      <c r="D584" s="148" t="s">
        <v>245</v>
      </c>
      <c r="E584" s="148">
        <v>5082.35294118</v>
      </c>
      <c r="F584" t="s">
        <v>249</v>
      </c>
      <c r="G584"/>
    </row>
    <row r="585" spans="1:7" ht="15.75">
      <c r="A585" t="str">
        <f t="shared" si="9"/>
        <v>ConciseBoisCHAUFF</v>
      </c>
      <c r="B585" s="148">
        <v>5554</v>
      </c>
      <c r="C585" s="148" t="s">
        <v>435</v>
      </c>
      <c r="D585" s="148" t="s">
        <v>66</v>
      </c>
      <c r="E585" s="148">
        <v>2840847.2564705904</v>
      </c>
      <c r="F585" t="s">
        <v>249</v>
      </c>
      <c r="G585"/>
    </row>
    <row r="586" spans="1:7" ht="15.75">
      <c r="A586" t="str">
        <f t="shared" si="9"/>
        <v>ConciseCADCHAUFF</v>
      </c>
      <c r="B586" s="148">
        <v>5554</v>
      </c>
      <c r="C586" s="148" t="s">
        <v>435</v>
      </c>
      <c r="D586" s="148" t="s">
        <v>242</v>
      </c>
      <c r="E586" s="148">
        <v>286998.19999999995</v>
      </c>
      <c r="F586" t="s">
        <v>249</v>
      </c>
      <c r="G586"/>
    </row>
    <row r="587" spans="1:7" ht="15.75">
      <c r="A587" t="str">
        <f t="shared" si="9"/>
        <v>ConciseElectricitéCHAUFF</v>
      </c>
      <c r="B587" s="148">
        <v>5554</v>
      </c>
      <c r="C587" s="148" t="s">
        <v>435</v>
      </c>
      <c r="D587" s="148" t="s">
        <v>97</v>
      </c>
      <c r="E587" s="148">
        <v>1023211.69892475</v>
      </c>
      <c r="F587" t="s">
        <v>249</v>
      </c>
      <c r="G587"/>
    </row>
    <row r="588" spans="1:7" ht="15.75">
      <c r="A588" t="str">
        <f t="shared" si="9"/>
        <v>ConciseGazCHAUFF</v>
      </c>
      <c r="B588" s="148">
        <v>5554</v>
      </c>
      <c r="C588" s="148" t="s">
        <v>435</v>
      </c>
      <c r="D588" s="148" t="s">
        <v>239</v>
      </c>
      <c r="E588" s="148">
        <v>350330.53869968001</v>
      </c>
      <c r="F588" t="s">
        <v>249</v>
      </c>
      <c r="G588"/>
    </row>
    <row r="589" spans="1:7" ht="15.75">
      <c r="A589" t="str">
        <f t="shared" si="9"/>
        <v>ConciseMazoutCHAUFF</v>
      </c>
      <c r="B589" s="148">
        <v>5554</v>
      </c>
      <c r="C589" s="148" t="s">
        <v>435</v>
      </c>
      <c r="D589" s="148" t="s">
        <v>70</v>
      </c>
      <c r="E589" s="148">
        <v>7617596.4470587792</v>
      </c>
      <c r="F589" t="s">
        <v>249</v>
      </c>
      <c r="G589"/>
    </row>
    <row r="590" spans="1:7" ht="15.75">
      <c r="A590" t="str">
        <f t="shared" si="9"/>
        <v>ConciseNon renseignéCHAUFF</v>
      </c>
      <c r="B590" s="148">
        <v>5554</v>
      </c>
      <c r="C590" s="148" t="s">
        <v>435</v>
      </c>
      <c r="D590" s="148" t="s">
        <v>696</v>
      </c>
      <c r="E590" s="148" t="e">
        <v>#N/A</v>
      </c>
      <c r="F590" t="s">
        <v>249</v>
      </c>
      <c r="G590"/>
    </row>
    <row r="591" spans="1:7" ht="15.75">
      <c r="A591" t="str">
        <f t="shared" si="9"/>
        <v>ConcisePACCHAUFF</v>
      </c>
      <c r="B591" s="148">
        <v>5554</v>
      </c>
      <c r="C591" s="148" t="s">
        <v>435</v>
      </c>
      <c r="D591" s="148" t="s">
        <v>69</v>
      </c>
      <c r="E591" s="148">
        <v>374543.6199937599</v>
      </c>
      <c r="F591" t="s">
        <v>249</v>
      </c>
      <c r="G591"/>
    </row>
    <row r="592" spans="1:7" ht="15.75">
      <c r="A592" t="str">
        <f t="shared" si="9"/>
        <v>ConciseCharbonCHAUFF</v>
      </c>
      <c r="B592" s="148">
        <v>5554</v>
      </c>
      <c r="C592" s="148" t="s">
        <v>435</v>
      </c>
      <c r="D592" s="148" t="s">
        <v>695</v>
      </c>
      <c r="E592" s="148" t="e">
        <v>#N/A</v>
      </c>
      <c r="F592" t="s">
        <v>249</v>
      </c>
      <c r="G592"/>
    </row>
    <row r="593" spans="1:7" ht="15.75">
      <c r="A593" t="str">
        <f t="shared" si="9"/>
        <v>ConciseSolaireCHAUFF</v>
      </c>
      <c r="B593" s="148">
        <v>5554</v>
      </c>
      <c r="C593" s="148" t="s">
        <v>435</v>
      </c>
      <c r="D593" s="148" t="s">
        <v>240</v>
      </c>
      <c r="E593" s="148" t="e">
        <v>#N/A</v>
      </c>
      <c r="F593" t="s">
        <v>249</v>
      </c>
      <c r="G593"/>
    </row>
    <row r="594" spans="1:7" ht="15.75">
      <c r="A594" t="str">
        <f t="shared" si="9"/>
        <v>CoppetBoisCHAUFF</v>
      </c>
      <c r="B594" s="148">
        <v>5712</v>
      </c>
      <c r="C594" s="148" t="s">
        <v>241</v>
      </c>
      <c r="D594" s="148" t="s">
        <v>66</v>
      </c>
      <c r="E594" s="148">
        <v>252991.02745098001</v>
      </c>
      <c r="F594" t="s">
        <v>249</v>
      </c>
      <c r="G594"/>
    </row>
    <row r="595" spans="1:7" ht="15.75">
      <c r="A595" t="str">
        <f t="shared" si="9"/>
        <v>CoppetCADCHAUFF</v>
      </c>
      <c r="B595" s="148">
        <v>5712</v>
      </c>
      <c r="C595" s="148" t="s">
        <v>241</v>
      </c>
      <c r="D595" s="148" t="s">
        <v>242</v>
      </c>
      <c r="E595" s="148">
        <v>942701.8</v>
      </c>
      <c r="F595" t="s">
        <v>249</v>
      </c>
      <c r="G595"/>
    </row>
    <row r="596" spans="1:7" ht="15.75">
      <c r="A596" t="str">
        <f t="shared" si="9"/>
        <v>CoppetElectricitéCHAUFF</v>
      </c>
      <c r="B596" s="148">
        <v>5712</v>
      </c>
      <c r="C596" s="148" t="s">
        <v>241</v>
      </c>
      <c r="D596" s="148" t="s">
        <v>97</v>
      </c>
      <c r="E596" s="148">
        <v>5926617.517710248</v>
      </c>
      <c r="F596" t="s">
        <v>249</v>
      </c>
      <c r="G596"/>
    </row>
    <row r="597" spans="1:7" ht="15.75">
      <c r="A597" t="str">
        <f t="shared" si="9"/>
        <v>CoppetGazCHAUFF</v>
      </c>
      <c r="B597" s="148">
        <v>5712</v>
      </c>
      <c r="C597" s="148" t="s">
        <v>241</v>
      </c>
      <c r="D597" s="148" t="s">
        <v>239</v>
      </c>
      <c r="E597" s="148">
        <v>466648.27244582993</v>
      </c>
      <c r="F597" t="s">
        <v>249</v>
      </c>
      <c r="G597"/>
    </row>
    <row r="598" spans="1:7" ht="15.75">
      <c r="A598" t="str">
        <f t="shared" si="9"/>
        <v>CoppetMazoutCHAUFF</v>
      </c>
      <c r="B598" s="148">
        <v>5712</v>
      </c>
      <c r="C598" s="148" t="s">
        <v>241</v>
      </c>
      <c r="D598" s="148" t="s">
        <v>70</v>
      </c>
      <c r="E598" s="148">
        <v>24706855.81764701</v>
      </c>
      <c r="F598" t="s">
        <v>249</v>
      </c>
      <c r="G598"/>
    </row>
    <row r="599" spans="1:7" ht="15.75">
      <c r="A599" t="str">
        <f t="shared" si="9"/>
        <v>CoppetNon renseignéCHAUFF</v>
      </c>
      <c r="B599" s="148">
        <v>5712</v>
      </c>
      <c r="C599" s="148" t="s">
        <v>241</v>
      </c>
      <c r="D599" s="148" t="s">
        <v>696</v>
      </c>
      <c r="E599" s="148">
        <v>0</v>
      </c>
      <c r="F599" t="s">
        <v>249</v>
      </c>
      <c r="G599"/>
    </row>
    <row r="600" spans="1:7" ht="15.75">
      <c r="A600" t="str">
        <f t="shared" si="9"/>
        <v>CoppetPACCHAUFF</v>
      </c>
      <c r="B600" s="148">
        <v>5712</v>
      </c>
      <c r="C600" s="148" t="s">
        <v>241</v>
      </c>
      <c r="D600" s="148" t="s">
        <v>69</v>
      </c>
      <c r="E600" s="148">
        <v>1238114.1121604196</v>
      </c>
      <c r="F600" t="s">
        <v>249</v>
      </c>
      <c r="G600"/>
    </row>
    <row r="601" spans="1:7" ht="15.75">
      <c r="A601" t="str">
        <f t="shared" si="9"/>
        <v>CoppetSolaireCHAUFF</v>
      </c>
      <c r="B601" s="148">
        <v>5712</v>
      </c>
      <c r="C601" s="148" t="s">
        <v>241</v>
      </c>
      <c r="D601" s="148" t="s">
        <v>240</v>
      </c>
      <c r="E601" s="148" t="e">
        <v>#N/A</v>
      </c>
      <c r="F601" t="s">
        <v>249</v>
      </c>
      <c r="G601"/>
    </row>
    <row r="602" spans="1:7" ht="15.75">
      <c r="A602" t="str">
        <f t="shared" si="9"/>
        <v>CorbeyrierBoisCHAUFF</v>
      </c>
      <c r="B602" s="148">
        <v>5404</v>
      </c>
      <c r="C602" s="148" t="s">
        <v>436</v>
      </c>
      <c r="D602" s="148" t="s">
        <v>66</v>
      </c>
      <c r="E602" s="148">
        <v>1966067.2313725296</v>
      </c>
      <c r="F602" t="s">
        <v>249</v>
      </c>
      <c r="G602"/>
    </row>
    <row r="603" spans="1:7" ht="15.75">
      <c r="A603" t="str">
        <f t="shared" si="9"/>
        <v>CorbeyrierElectricitéCHAUFF</v>
      </c>
      <c r="B603" s="148">
        <v>5404</v>
      </c>
      <c r="C603" s="148" t="s">
        <v>436</v>
      </c>
      <c r="D603" s="148" t="s">
        <v>97</v>
      </c>
      <c r="E603" s="148">
        <v>588017.41935485997</v>
      </c>
      <c r="F603" t="s">
        <v>249</v>
      </c>
      <c r="G603"/>
    </row>
    <row r="604" spans="1:7" ht="15.75">
      <c r="A604" t="str">
        <f t="shared" si="9"/>
        <v>CorbeyrierGazCHAUFF</v>
      </c>
      <c r="B604" s="148">
        <v>5404</v>
      </c>
      <c r="C604" s="148" t="s">
        <v>436</v>
      </c>
      <c r="D604" s="148" t="s">
        <v>239</v>
      </c>
      <c r="E604" s="148">
        <v>51320.470588240001</v>
      </c>
      <c r="F604" t="s">
        <v>249</v>
      </c>
      <c r="G604"/>
    </row>
    <row r="605" spans="1:7" ht="15.75">
      <c r="A605" t="str">
        <f t="shared" si="9"/>
        <v>CorbeyrierMazoutCHAUFF</v>
      </c>
      <c r="B605" s="148">
        <v>5404</v>
      </c>
      <c r="C605" s="148" t="s">
        <v>436</v>
      </c>
      <c r="D605" s="148" t="s">
        <v>70</v>
      </c>
      <c r="E605" s="148">
        <v>4242700.6489980388</v>
      </c>
      <c r="F605" t="s">
        <v>249</v>
      </c>
      <c r="G605"/>
    </row>
    <row r="606" spans="1:7" ht="15.75">
      <c r="A606" t="str">
        <f t="shared" si="9"/>
        <v>CorbeyrierNon renseignéCHAUFF</v>
      </c>
      <c r="B606" s="148">
        <v>5404</v>
      </c>
      <c r="C606" s="148" t="s">
        <v>436</v>
      </c>
      <c r="D606" s="148" t="s">
        <v>696</v>
      </c>
      <c r="E606" s="148">
        <v>0</v>
      </c>
      <c r="F606" t="s">
        <v>249</v>
      </c>
      <c r="G606"/>
    </row>
    <row r="607" spans="1:7" ht="15.75">
      <c r="A607" t="str">
        <f t="shared" si="9"/>
        <v>CorbeyrierPACCHAUFF</v>
      </c>
      <c r="B607" s="148">
        <v>5404</v>
      </c>
      <c r="C607" s="148" t="s">
        <v>436</v>
      </c>
      <c r="D607" s="148" t="s">
        <v>69</v>
      </c>
      <c r="E607" s="148">
        <v>86350.096296309988</v>
      </c>
      <c r="F607" t="s">
        <v>249</v>
      </c>
      <c r="G607"/>
    </row>
    <row r="608" spans="1:7" ht="15.75">
      <c r="A608" t="str">
        <f t="shared" si="9"/>
        <v>CorbeyrierSolaireCHAUFF</v>
      </c>
      <c r="B608" s="148">
        <v>5404</v>
      </c>
      <c r="C608" s="148" t="s">
        <v>436</v>
      </c>
      <c r="D608" s="148" t="s">
        <v>240</v>
      </c>
      <c r="E608" s="148">
        <v>46803.200000000004</v>
      </c>
      <c r="F608" t="s">
        <v>249</v>
      </c>
      <c r="G608"/>
    </row>
    <row r="609" spans="1:7" ht="15.75">
      <c r="A609" t="str">
        <f t="shared" si="9"/>
        <v>Corcelles-le-JoratBoisCHAUFF</v>
      </c>
      <c r="B609" s="148">
        <v>5785</v>
      </c>
      <c r="C609" s="148" t="s">
        <v>653</v>
      </c>
      <c r="D609" s="148" t="s">
        <v>66</v>
      </c>
      <c r="E609" s="148">
        <v>2445306.0156862806</v>
      </c>
      <c r="F609" t="s">
        <v>249</v>
      </c>
      <c r="G609"/>
    </row>
    <row r="610" spans="1:7" ht="15.75">
      <c r="A610" t="str">
        <f t="shared" si="9"/>
        <v>Corcelles-le-JoratCADCHAUFF</v>
      </c>
      <c r="B610" s="148">
        <v>5785</v>
      </c>
      <c r="C610" s="148" t="s">
        <v>653</v>
      </c>
      <c r="D610" s="148" t="s">
        <v>242</v>
      </c>
      <c r="E610" s="148">
        <v>369424.6</v>
      </c>
      <c r="F610" t="s">
        <v>249</v>
      </c>
      <c r="G610"/>
    </row>
    <row r="611" spans="1:7" ht="15.75">
      <c r="A611" t="str">
        <f t="shared" si="9"/>
        <v>Corcelles-le-JoratElectricitéCHAUFF</v>
      </c>
      <c r="B611" s="148">
        <v>5785</v>
      </c>
      <c r="C611" s="148" t="s">
        <v>653</v>
      </c>
      <c r="D611" s="148" t="s">
        <v>97</v>
      </c>
      <c r="E611" s="148">
        <v>511769.6774193701</v>
      </c>
      <c r="F611" t="s">
        <v>249</v>
      </c>
      <c r="G611"/>
    </row>
    <row r="612" spans="1:7" ht="15.75">
      <c r="A612" t="str">
        <f t="shared" si="9"/>
        <v>Corcelles-le-JoratGazCHAUFF</v>
      </c>
      <c r="B612" s="148">
        <v>5785</v>
      </c>
      <c r="C612" s="148" t="s">
        <v>653</v>
      </c>
      <c r="D612" s="148" t="s">
        <v>239</v>
      </c>
      <c r="E612" s="148">
        <v>526135.60495356994</v>
      </c>
      <c r="F612" t="s">
        <v>249</v>
      </c>
      <c r="G612"/>
    </row>
    <row r="613" spans="1:7" ht="15.75">
      <c r="A613" t="str">
        <f t="shared" si="9"/>
        <v>Corcelles-le-JoratMazoutCHAUFF</v>
      </c>
      <c r="B613" s="148">
        <v>5785</v>
      </c>
      <c r="C613" s="148" t="s">
        <v>653</v>
      </c>
      <c r="D613" s="148" t="s">
        <v>70</v>
      </c>
      <c r="E613" s="148">
        <v>4727038.3529411983</v>
      </c>
      <c r="F613" t="s">
        <v>249</v>
      </c>
      <c r="G613"/>
    </row>
    <row r="614" spans="1:7" ht="15.75">
      <c r="A614" t="str">
        <f t="shared" si="9"/>
        <v>Corcelles-le-JoratNon renseignéCHAUFF</v>
      </c>
      <c r="B614" s="148">
        <v>5785</v>
      </c>
      <c r="C614" s="148" t="s">
        <v>653</v>
      </c>
      <c r="D614" s="148" t="s">
        <v>696</v>
      </c>
      <c r="E614" s="148">
        <v>0</v>
      </c>
      <c r="F614" t="s">
        <v>249</v>
      </c>
      <c r="G614"/>
    </row>
    <row r="615" spans="1:7" ht="15.75">
      <c r="A615" t="str">
        <f t="shared" si="9"/>
        <v>Corcelles-le-JoratPACCHAUFF</v>
      </c>
      <c r="B615" s="148">
        <v>5785</v>
      </c>
      <c r="C615" s="148" t="s">
        <v>653</v>
      </c>
      <c r="D615" s="148" t="s">
        <v>69</v>
      </c>
      <c r="E615" s="148">
        <v>187596.67230275003</v>
      </c>
      <c r="F615" t="s">
        <v>249</v>
      </c>
      <c r="G615"/>
    </row>
    <row r="616" spans="1:7" ht="15.75">
      <c r="A616" t="str">
        <f t="shared" si="9"/>
        <v>Corcelles-le-JoratSolaireCHAUFF</v>
      </c>
      <c r="B616" s="148">
        <v>5785</v>
      </c>
      <c r="C616" s="148" t="s">
        <v>653</v>
      </c>
      <c r="D616" s="148" t="s">
        <v>240</v>
      </c>
      <c r="E616" s="148" t="e">
        <v>#N/A</v>
      </c>
      <c r="F616" t="s">
        <v>249</v>
      </c>
      <c r="G616"/>
    </row>
    <row r="617" spans="1:7" ht="15.75">
      <c r="A617" t="str">
        <f t="shared" si="9"/>
        <v>Corcelles-près-ConciseAutre agent énergétiqueCHAUFF</v>
      </c>
      <c r="B617" s="148">
        <v>5555</v>
      </c>
      <c r="C617" s="148" t="s">
        <v>652</v>
      </c>
      <c r="D617" s="148" t="s">
        <v>245</v>
      </c>
      <c r="E617" s="148">
        <v>78369.882352939996</v>
      </c>
      <c r="F617" t="s">
        <v>249</v>
      </c>
      <c r="G617"/>
    </row>
    <row r="618" spans="1:7" ht="15.75">
      <c r="A618" t="str">
        <f t="shared" si="9"/>
        <v>Corcelles-près-ConciseBoisCHAUFF</v>
      </c>
      <c r="B618" s="148">
        <v>5555</v>
      </c>
      <c r="C618" s="148" t="s">
        <v>652</v>
      </c>
      <c r="D618" s="148" t="s">
        <v>66</v>
      </c>
      <c r="E618" s="148">
        <v>1221987.4509803799</v>
      </c>
      <c r="F618" t="s">
        <v>249</v>
      </c>
      <c r="G618"/>
    </row>
    <row r="619" spans="1:7" ht="15.75">
      <c r="A619" t="str">
        <f t="shared" si="9"/>
        <v>Corcelles-près-ConciseCADCHAUFF</v>
      </c>
      <c r="B619" s="148">
        <v>5555</v>
      </c>
      <c r="C619" s="148" t="s">
        <v>652</v>
      </c>
      <c r="D619" s="148" t="s">
        <v>242</v>
      </c>
      <c r="E619" s="148">
        <v>9428.8000000000011</v>
      </c>
      <c r="F619" t="s">
        <v>249</v>
      </c>
      <c r="G619"/>
    </row>
    <row r="620" spans="1:7" ht="15.75">
      <c r="A620" t="str">
        <f t="shared" si="9"/>
        <v>Corcelles-près-ConciseElectricitéCHAUFF</v>
      </c>
      <c r="B620" s="148">
        <v>5555</v>
      </c>
      <c r="C620" s="148" t="s">
        <v>652</v>
      </c>
      <c r="D620" s="148" t="s">
        <v>97</v>
      </c>
      <c r="E620" s="148">
        <v>518563.65591396997</v>
      </c>
      <c r="F620" t="s">
        <v>249</v>
      </c>
      <c r="G620"/>
    </row>
    <row r="621" spans="1:7" ht="15.75">
      <c r="A621" t="str">
        <f t="shared" si="9"/>
        <v>Corcelles-près-ConciseGazCHAUFF</v>
      </c>
      <c r="B621" s="148">
        <v>5555</v>
      </c>
      <c r="C621" s="148" t="s">
        <v>652</v>
      </c>
      <c r="D621" s="148" t="s">
        <v>239</v>
      </c>
      <c r="E621" s="148">
        <v>328274.75541796995</v>
      </c>
      <c r="F621" t="s">
        <v>249</v>
      </c>
      <c r="G621"/>
    </row>
    <row r="622" spans="1:7" ht="15.75">
      <c r="A622" t="str">
        <f t="shared" si="9"/>
        <v>Corcelles-près-ConciseMazoutCHAUFF</v>
      </c>
      <c r="B622" s="148">
        <v>5555</v>
      </c>
      <c r="C622" s="148" t="s">
        <v>652</v>
      </c>
      <c r="D622" s="148" t="s">
        <v>70</v>
      </c>
      <c r="E622" s="148">
        <v>3242256.0588235282</v>
      </c>
      <c r="F622" t="s">
        <v>249</v>
      </c>
      <c r="G622"/>
    </row>
    <row r="623" spans="1:7" ht="15.75">
      <c r="A623" t="str">
        <f t="shared" si="9"/>
        <v>Corcelles-près-ConciseNon renseignéCHAUFF</v>
      </c>
      <c r="B623" s="148">
        <v>5555</v>
      </c>
      <c r="C623" s="148" t="s">
        <v>652</v>
      </c>
      <c r="D623" s="148" t="s">
        <v>696</v>
      </c>
      <c r="E623" s="148">
        <v>0</v>
      </c>
      <c r="F623" t="s">
        <v>249</v>
      </c>
      <c r="G623"/>
    </row>
    <row r="624" spans="1:7" ht="15.75">
      <c r="A624" t="str">
        <f t="shared" si="9"/>
        <v>Corcelles-près-ConcisePACCHAUFF</v>
      </c>
      <c r="B624" s="148">
        <v>5555</v>
      </c>
      <c r="C624" s="148" t="s">
        <v>652</v>
      </c>
      <c r="D624" s="148" t="s">
        <v>69</v>
      </c>
      <c r="E624" s="148">
        <v>94455.594202909997</v>
      </c>
      <c r="F624" t="s">
        <v>249</v>
      </c>
      <c r="G624"/>
    </row>
    <row r="625" spans="1:7" ht="15.75">
      <c r="A625" t="str">
        <f t="shared" si="9"/>
        <v>Corcelles-près-ConciseSolaireCHAUFF</v>
      </c>
      <c r="B625" s="148">
        <v>5555</v>
      </c>
      <c r="C625" s="148" t="s">
        <v>652</v>
      </c>
      <c r="D625" s="148" t="s">
        <v>240</v>
      </c>
      <c r="E625" s="148" t="e">
        <v>#N/A</v>
      </c>
      <c r="F625" t="s">
        <v>249</v>
      </c>
      <c r="G625"/>
    </row>
    <row r="626" spans="1:7" ht="15.75">
      <c r="A626" t="str">
        <f t="shared" si="9"/>
        <v>Corcelles-près-PayerneAutre agent énergétiqueCHAUFF</v>
      </c>
      <c r="B626" s="148">
        <v>5816</v>
      </c>
      <c r="C626" s="148" t="s">
        <v>683</v>
      </c>
      <c r="D626" s="148" t="s">
        <v>245</v>
      </c>
      <c r="E626" s="148">
        <v>51593.411764710007</v>
      </c>
      <c r="F626" t="s">
        <v>249</v>
      </c>
      <c r="G626"/>
    </row>
    <row r="627" spans="1:7" ht="15.75">
      <c r="A627" t="str">
        <f t="shared" si="9"/>
        <v>Corcelles-près-PayerneBoisCHAUFF</v>
      </c>
      <c r="B627" s="148">
        <v>5816</v>
      </c>
      <c r="C627" s="148" t="s">
        <v>683</v>
      </c>
      <c r="D627" s="148" t="s">
        <v>66</v>
      </c>
      <c r="E627" s="148">
        <v>3466638.8533333209</v>
      </c>
      <c r="F627" t="s">
        <v>249</v>
      </c>
      <c r="G627"/>
    </row>
    <row r="628" spans="1:7" ht="15.75">
      <c r="A628" t="str">
        <f t="shared" si="9"/>
        <v>Corcelles-près-PayerneCADCHAUFF</v>
      </c>
      <c r="B628" s="148">
        <v>5816</v>
      </c>
      <c r="C628" s="148" t="s">
        <v>683</v>
      </c>
      <c r="D628" s="148" t="s">
        <v>242</v>
      </c>
      <c r="E628" s="148">
        <v>21882.400000000001</v>
      </c>
      <c r="F628" t="s">
        <v>249</v>
      </c>
      <c r="G628"/>
    </row>
    <row r="629" spans="1:7" ht="15.75">
      <c r="A629" t="str">
        <f t="shared" si="9"/>
        <v>Corcelles-près-PayerneElectricitéCHAUFF</v>
      </c>
      <c r="B629" s="148">
        <v>5816</v>
      </c>
      <c r="C629" s="148" t="s">
        <v>683</v>
      </c>
      <c r="D629" s="148" t="s">
        <v>97</v>
      </c>
      <c r="E629" s="148">
        <v>1622360.7311828095</v>
      </c>
      <c r="F629" t="s">
        <v>249</v>
      </c>
      <c r="G629"/>
    </row>
    <row r="630" spans="1:7" ht="15.75">
      <c r="A630" t="str">
        <f t="shared" si="9"/>
        <v>Corcelles-près-PayerneGazCHAUFF</v>
      </c>
      <c r="B630" s="148">
        <v>5816</v>
      </c>
      <c r="C630" s="148" t="s">
        <v>683</v>
      </c>
      <c r="D630" s="148" t="s">
        <v>239</v>
      </c>
      <c r="E630" s="148">
        <v>3068458.6823528893</v>
      </c>
      <c r="F630" t="s">
        <v>249</v>
      </c>
      <c r="G630"/>
    </row>
    <row r="631" spans="1:7" ht="15.75">
      <c r="A631" t="str">
        <f t="shared" si="9"/>
        <v>Corcelles-près-PayerneMazoutCHAUFF</v>
      </c>
      <c r="B631" s="148">
        <v>5816</v>
      </c>
      <c r="C631" s="148" t="s">
        <v>683</v>
      </c>
      <c r="D631" s="148" t="s">
        <v>70</v>
      </c>
      <c r="E631" s="148">
        <v>16193967.889722005</v>
      </c>
      <c r="F631" t="s">
        <v>249</v>
      </c>
      <c r="G631"/>
    </row>
    <row r="632" spans="1:7" ht="15.75">
      <c r="A632" t="str">
        <f t="shared" si="9"/>
        <v>Corcelles-près-PayerneNon renseignéCHAUFF</v>
      </c>
      <c r="B632" s="148">
        <v>5816</v>
      </c>
      <c r="C632" s="148" t="s">
        <v>683</v>
      </c>
      <c r="D632" s="148" t="s">
        <v>696</v>
      </c>
      <c r="E632" s="148">
        <v>0</v>
      </c>
      <c r="F632" t="s">
        <v>249</v>
      </c>
      <c r="G632"/>
    </row>
    <row r="633" spans="1:7" ht="15.75">
      <c r="A633" t="str">
        <f t="shared" si="9"/>
        <v>Corcelles-près-PayernePACCHAUFF</v>
      </c>
      <c r="B633" s="148">
        <v>5816</v>
      </c>
      <c r="C633" s="148" t="s">
        <v>683</v>
      </c>
      <c r="D633" s="148" t="s">
        <v>69</v>
      </c>
      <c r="E633" s="148">
        <v>949558.39889875962</v>
      </c>
      <c r="F633" t="s">
        <v>249</v>
      </c>
      <c r="G633"/>
    </row>
    <row r="634" spans="1:7" ht="15.75">
      <c r="A634" t="str">
        <f t="shared" si="9"/>
        <v>Corcelles-près-PayerneSolaireCHAUFF</v>
      </c>
      <c r="B634" s="148">
        <v>5816</v>
      </c>
      <c r="C634" s="148" t="s">
        <v>683</v>
      </c>
      <c r="D634" s="148" t="s">
        <v>240</v>
      </c>
      <c r="E634" s="148" t="e">
        <v>#N/A</v>
      </c>
      <c r="F634" t="s">
        <v>249</v>
      </c>
      <c r="G634"/>
    </row>
    <row r="635" spans="1:7" ht="15.75">
      <c r="A635" t="str">
        <f t="shared" si="9"/>
        <v>CorseauxBoisCHAUFF</v>
      </c>
      <c r="B635" s="148">
        <v>5883</v>
      </c>
      <c r="C635" s="148" t="s">
        <v>437</v>
      </c>
      <c r="D635" s="148" t="s">
        <v>66</v>
      </c>
      <c r="E635" s="148">
        <v>167687.00313725002</v>
      </c>
      <c r="F635" t="s">
        <v>249</v>
      </c>
      <c r="G635"/>
    </row>
    <row r="636" spans="1:7" ht="15.75">
      <c r="A636" t="str">
        <f t="shared" si="9"/>
        <v>CorseauxCADCHAUFF</v>
      </c>
      <c r="B636" s="148">
        <v>5883</v>
      </c>
      <c r="C636" s="148" t="s">
        <v>437</v>
      </c>
      <c r="D636" s="148" t="s">
        <v>242</v>
      </c>
      <c r="E636" s="148">
        <v>5883</v>
      </c>
      <c r="F636" t="s">
        <v>249</v>
      </c>
      <c r="G636"/>
    </row>
    <row r="637" spans="1:7" ht="15.75">
      <c r="A637" t="str">
        <f t="shared" si="9"/>
        <v>CorseauxElectricitéCHAUFF</v>
      </c>
      <c r="B637" s="148">
        <v>5883</v>
      </c>
      <c r="C637" s="148" t="s">
        <v>437</v>
      </c>
      <c r="D637" s="148" t="s">
        <v>97</v>
      </c>
      <c r="E637" s="148">
        <v>410598.49462364998</v>
      </c>
      <c r="F637" t="s">
        <v>249</v>
      </c>
      <c r="G637"/>
    </row>
    <row r="638" spans="1:7" ht="15.75">
      <c r="A638" t="str">
        <f t="shared" si="9"/>
        <v>CorseauxGazCHAUFF</v>
      </c>
      <c r="B638" s="148">
        <v>5883</v>
      </c>
      <c r="C638" s="148" t="s">
        <v>437</v>
      </c>
      <c r="D638" s="148" t="s">
        <v>239</v>
      </c>
      <c r="E638" s="148">
        <v>15945570.636555418</v>
      </c>
      <c r="F638" t="s">
        <v>249</v>
      </c>
      <c r="G638"/>
    </row>
    <row r="639" spans="1:7" ht="15.75">
      <c r="A639" t="str">
        <f t="shared" si="9"/>
        <v>CorseauxMazoutCHAUFF</v>
      </c>
      <c r="B639" s="148">
        <v>5883</v>
      </c>
      <c r="C639" s="148" t="s">
        <v>437</v>
      </c>
      <c r="D639" s="148" t="s">
        <v>70</v>
      </c>
      <c r="E639" s="148">
        <v>10092404.058823511</v>
      </c>
      <c r="F639" t="s">
        <v>249</v>
      </c>
      <c r="G639"/>
    </row>
    <row r="640" spans="1:7" ht="15.75">
      <c r="A640" t="str">
        <f t="shared" si="9"/>
        <v>CorseauxNon renseignéCHAUFF</v>
      </c>
      <c r="B640" s="148">
        <v>5883</v>
      </c>
      <c r="C640" s="148" t="s">
        <v>437</v>
      </c>
      <c r="D640" s="148" t="s">
        <v>696</v>
      </c>
      <c r="E640" s="148">
        <v>0</v>
      </c>
      <c r="F640" t="s">
        <v>249</v>
      </c>
      <c r="G640"/>
    </row>
    <row r="641" spans="1:7" ht="15.75">
      <c r="A641" t="str">
        <f t="shared" si="9"/>
        <v>CorseauxPACCHAUFF</v>
      </c>
      <c r="B641" s="148">
        <v>5883</v>
      </c>
      <c r="C641" s="148" t="s">
        <v>437</v>
      </c>
      <c r="D641" s="148" t="s">
        <v>69</v>
      </c>
      <c r="E641" s="148">
        <v>221361.98327359997</v>
      </c>
      <c r="F641" t="s">
        <v>249</v>
      </c>
      <c r="G641"/>
    </row>
    <row r="642" spans="1:7" ht="15.75">
      <c r="A642" t="str">
        <f t="shared" si="9"/>
        <v>CorseauxSolaireCHAUFF</v>
      </c>
      <c r="B642" s="148">
        <v>5883</v>
      </c>
      <c r="C642" s="148" t="s">
        <v>437</v>
      </c>
      <c r="D642" s="148" t="s">
        <v>240</v>
      </c>
      <c r="E642" s="148">
        <v>4161.6000000000004</v>
      </c>
      <c r="F642" t="s">
        <v>249</v>
      </c>
      <c r="G642"/>
    </row>
    <row r="643" spans="1:7" ht="15.75">
      <c r="A643" t="str">
        <f t="shared" ref="A643:A706" si="10">_xlfn.CONCAT(C643,D643,F643)</f>
        <v>Corsier-sur-VeveyBoisCHAUFF</v>
      </c>
      <c r="B643" s="148">
        <v>5884</v>
      </c>
      <c r="C643" s="148" t="s">
        <v>651</v>
      </c>
      <c r="D643" s="148" t="s">
        <v>66</v>
      </c>
      <c r="E643" s="148">
        <v>2268298.2494117403</v>
      </c>
      <c r="F643" t="s">
        <v>249</v>
      </c>
      <c r="G643"/>
    </row>
    <row r="644" spans="1:7" ht="15.75">
      <c r="A644" t="str">
        <f t="shared" si="10"/>
        <v>Corsier-sur-VeveyCADCHAUFF</v>
      </c>
      <c r="B644" s="148">
        <v>5884</v>
      </c>
      <c r="C644" s="148" t="s">
        <v>651</v>
      </c>
      <c r="D644" s="148" t="s">
        <v>242</v>
      </c>
      <c r="E644" s="148">
        <v>65654.399999999994</v>
      </c>
      <c r="F644" t="s">
        <v>249</v>
      </c>
      <c r="G644"/>
    </row>
    <row r="645" spans="1:7" ht="15.75">
      <c r="A645" t="str">
        <f t="shared" si="10"/>
        <v>Corsier-sur-VeveyElectricitéCHAUFF</v>
      </c>
      <c r="B645" s="148">
        <v>5884</v>
      </c>
      <c r="C645" s="148" t="s">
        <v>651</v>
      </c>
      <c r="D645" s="148" t="s">
        <v>97</v>
      </c>
      <c r="E645" s="148">
        <v>1737459.9999999905</v>
      </c>
      <c r="F645" t="s">
        <v>249</v>
      </c>
      <c r="G645"/>
    </row>
    <row r="646" spans="1:7" ht="15.75">
      <c r="A646" t="str">
        <f t="shared" si="10"/>
        <v>Corsier-sur-VeveyGazCHAUFF</v>
      </c>
      <c r="B646" s="148">
        <v>5884</v>
      </c>
      <c r="C646" s="148" t="s">
        <v>651</v>
      </c>
      <c r="D646" s="148" t="s">
        <v>239</v>
      </c>
      <c r="E646" s="148">
        <v>11566317.716775673</v>
      </c>
      <c r="F646" t="s">
        <v>249</v>
      </c>
      <c r="G646"/>
    </row>
    <row r="647" spans="1:7" ht="15.75">
      <c r="A647" t="str">
        <f t="shared" si="10"/>
        <v>Corsier-sur-VeveyMazoutCHAUFF</v>
      </c>
      <c r="B647" s="148">
        <v>5884</v>
      </c>
      <c r="C647" s="148" t="s">
        <v>651</v>
      </c>
      <c r="D647" s="148" t="s">
        <v>70</v>
      </c>
      <c r="E647" s="148">
        <v>20646083.970076304</v>
      </c>
      <c r="F647" t="s">
        <v>249</v>
      </c>
      <c r="G647"/>
    </row>
    <row r="648" spans="1:7" ht="15.75">
      <c r="A648" t="str">
        <f t="shared" si="10"/>
        <v>Corsier-sur-VeveyNon renseignéCHAUFF</v>
      </c>
      <c r="B648" s="148">
        <v>5884</v>
      </c>
      <c r="C648" s="148" t="s">
        <v>651</v>
      </c>
      <c r="D648" s="148" t="s">
        <v>696</v>
      </c>
      <c r="E648" s="148">
        <v>0</v>
      </c>
      <c r="F648" t="s">
        <v>249</v>
      </c>
      <c r="G648"/>
    </row>
    <row r="649" spans="1:7" ht="15.75">
      <c r="A649" t="str">
        <f t="shared" si="10"/>
        <v>Corsier-sur-VeveyPACCHAUFF</v>
      </c>
      <c r="B649" s="148">
        <v>5884</v>
      </c>
      <c r="C649" s="148" t="s">
        <v>651</v>
      </c>
      <c r="D649" s="148" t="s">
        <v>69</v>
      </c>
      <c r="E649" s="148">
        <v>301709.53321907995</v>
      </c>
      <c r="F649" t="s">
        <v>249</v>
      </c>
      <c r="G649"/>
    </row>
    <row r="650" spans="1:7" ht="15.75">
      <c r="A650" t="str">
        <f t="shared" si="10"/>
        <v>Corsier-sur-VeveySolaireCHAUFF</v>
      </c>
      <c r="B650" s="148">
        <v>5884</v>
      </c>
      <c r="C650" s="148" t="s">
        <v>651</v>
      </c>
      <c r="D650" s="148" t="s">
        <v>240</v>
      </c>
      <c r="E650" s="148" t="e">
        <v>#N/A</v>
      </c>
      <c r="F650" t="s">
        <v>249</v>
      </c>
      <c r="G650"/>
    </row>
    <row r="651" spans="1:7" ht="15.75">
      <c r="A651" t="str">
        <f t="shared" si="10"/>
        <v>CossonayBoisCHAUFF</v>
      </c>
      <c r="B651" s="148">
        <v>5477</v>
      </c>
      <c r="C651" s="148" t="s">
        <v>438</v>
      </c>
      <c r="D651" s="148" t="s">
        <v>66</v>
      </c>
      <c r="E651" s="148">
        <v>928878.03529409994</v>
      </c>
      <c r="F651" t="s">
        <v>249</v>
      </c>
      <c r="G651"/>
    </row>
    <row r="652" spans="1:7" ht="15.75">
      <c r="A652" t="str">
        <f t="shared" si="10"/>
        <v>CossonayCADCHAUFF</v>
      </c>
      <c r="B652" s="148">
        <v>5477</v>
      </c>
      <c r="C652" s="148" t="s">
        <v>438</v>
      </c>
      <c r="D652" s="148" t="s">
        <v>242</v>
      </c>
      <c r="E652" s="148">
        <v>226847.92</v>
      </c>
      <c r="F652" t="s">
        <v>249</v>
      </c>
      <c r="G652"/>
    </row>
    <row r="653" spans="1:7" ht="15.75">
      <c r="A653" t="str">
        <f t="shared" si="10"/>
        <v>CossonayElectricitéCHAUFF</v>
      </c>
      <c r="B653" s="148">
        <v>5477</v>
      </c>
      <c r="C653" s="148" t="s">
        <v>438</v>
      </c>
      <c r="D653" s="148" t="s">
        <v>97</v>
      </c>
      <c r="E653" s="148">
        <v>1900814.4623656096</v>
      </c>
      <c r="F653" t="s">
        <v>249</v>
      </c>
      <c r="G653"/>
    </row>
    <row r="654" spans="1:7" ht="15.75">
      <c r="A654" t="str">
        <f t="shared" si="10"/>
        <v>CossonayGazCHAUFF</v>
      </c>
      <c r="B654" s="148">
        <v>5477</v>
      </c>
      <c r="C654" s="148" t="s">
        <v>438</v>
      </c>
      <c r="D654" s="148" t="s">
        <v>239</v>
      </c>
      <c r="E654" s="148">
        <v>17308891.589034304</v>
      </c>
      <c r="F654" t="s">
        <v>249</v>
      </c>
      <c r="G654"/>
    </row>
    <row r="655" spans="1:7" ht="15.75">
      <c r="A655" t="str">
        <f t="shared" si="10"/>
        <v>CossonayMazoutCHAUFF</v>
      </c>
      <c r="B655" s="148">
        <v>5477</v>
      </c>
      <c r="C655" s="148" t="s">
        <v>438</v>
      </c>
      <c r="D655" s="148" t="s">
        <v>70</v>
      </c>
      <c r="E655" s="148">
        <v>4777190.9816993391</v>
      </c>
      <c r="F655" t="s">
        <v>249</v>
      </c>
      <c r="G655"/>
    </row>
    <row r="656" spans="1:7" ht="15.75">
      <c r="A656" t="str">
        <f t="shared" si="10"/>
        <v>CossonayNon renseignéCHAUFF</v>
      </c>
      <c r="B656" s="148">
        <v>5477</v>
      </c>
      <c r="C656" s="148" t="s">
        <v>438</v>
      </c>
      <c r="D656" s="148" t="s">
        <v>696</v>
      </c>
      <c r="E656" s="148">
        <v>0</v>
      </c>
      <c r="F656" t="s">
        <v>249</v>
      </c>
      <c r="G656"/>
    </row>
    <row r="657" spans="1:7" ht="15.75">
      <c r="A657" t="str">
        <f t="shared" si="10"/>
        <v>CossonayPACCHAUFF</v>
      </c>
      <c r="B657" s="148">
        <v>5477</v>
      </c>
      <c r="C657" s="148" t="s">
        <v>438</v>
      </c>
      <c r="D657" s="148" t="s">
        <v>69</v>
      </c>
      <c r="E657" s="148">
        <v>224303.74492753</v>
      </c>
      <c r="F657" t="s">
        <v>249</v>
      </c>
      <c r="G657"/>
    </row>
    <row r="658" spans="1:7" ht="15.75">
      <c r="A658" t="str">
        <f t="shared" si="10"/>
        <v>CossonaySolaireCHAUFF</v>
      </c>
      <c r="B658" s="148">
        <v>5477</v>
      </c>
      <c r="C658" s="148" t="s">
        <v>438</v>
      </c>
      <c r="D658" s="148" t="s">
        <v>240</v>
      </c>
      <c r="E658" s="148" t="e">
        <v>#N/A</v>
      </c>
      <c r="F658" t="s">
        <v>249</v>
      </c>
      <c r="G658"/>
    </row>
    <row r="659" spans="1:7" ht="15.75">
      <c r="A659" t="str">
        <f t="shared" si="10"/>
        <v>Cottens (VD)BoisCHAUFF</v>
      </c>
      <c r="B659" s="148">
        <v>5478</v>
      </c>
      <c r="C659" s="148" t="s">
        <v>650</v>
      </c>
      <c r="D659" s="148" t="s">
        <v>66</v>
      </c>
      <c r="E659" s="148" t="e">
        <v>#N/A</v>
      </c>
      <c r="F659" t="s">
        <v>249</v>
      </c>
      <c r="G659"/>
    </row>
    <row r="660" spans="1:7" ht="15.75">
      <c r="A660" t="str">
        <f t="shared" si="10"/>
        <v>Cottens (VD)CADCHAUFF</v>
      </c>
      <c r="B660" s="148">
        <v>5478</v>
      </c>
      <c r="C660" s="148" t="s">
        <v>650</v>
      </c>
      <c r="D660" s="148" t="s">
        <v>242</v>
      </c>
      <c r="E660" s="148" t="e">
        <v>#N/A</v>
      </c>
      <c r="F660" t="s">
        <v>249</v>
      </c>
      <c r="G660"/>
    </row>
    <row r="661" spans="1:7" ht="15.75">
      <c r="A661" t="str">
        <f t="shared" si="10"/>
        <v>Cottens (VD)ElectricitéCHAUFF</v>
      </c>
      <c r="B661" s="148">
        <v>5478</v>
      </c>
      <c r="C661" s="148" t="s">
        <v>650</v>
      </c>
      <c r="D661" s="148" t="s">
        <v>97</v>
      </c>
      <c r="E661" s="148" t="e">
        <v>#N/A</v>
      </c>
      <c r="F661" t="s">
        <v>249</v>
      </c>
      <c r="G661"/>
    </row>
    <row r="662" spans="1:7" ht="15.75">
      <c r="A662" t="str">
        <f t="shared" si="10"/>
        <v>Cottens (VD)GazCHAUFF</v>
      </c>
      <c r="B662" s="148">
        <v>5478</v>
      </c>
      <c r="C662" s="148" t="s">
        <v>650</v>
      </c>
      <c r="D662" s="148" t="s">
        <v>239</v>
      </c>
      <c r="E662" s="148" t="e">
        <v>#N/A</v>
      </c>
      <c r="F662" t="s">
        <v>249</v>
      </c>
      <c r="G662"/>
    </row>
    <row r="663" spans="1:7" ht="15.75">
      <c r="A663" t="str">
        <f t="shared" si="10"/>
        <v>Cottens (VD)MazoutCHAUFF</v>
      </c>
      <c r="B663" s="148">
        <v>5478</v>
      </c>
      <c r="C663" s="148" t="s">
        <v>650</v>
      </c>
      <c r="D663" s="148" t="s">
        <v>70</v>
      </c>
      <c r="E663" s="148" t="e">
        <v>#N/A</v>
      </c>
      <c r="F663" t="s">
        <v>249</v>
      </c>
      <c r="G663"/>
    </row>
    <row r="664" spans="1:7" ht="15.75">
      <c r="A664" t="str">
        <f t="shared" si="10"/>
        <v>Cottens (VD)Non renseignéCHAUFF</v>
      </c>
      <c r="B664" s="148">
        <v>5478</v>
      </c>
      <c r="C664" s="148" t="s">
        <v>650</v>
      </c>
      <c r="D664" s="148" t="s">
        <v>696</v>
      </c>
      <c r="E664" s="148" t="e">
        <v>#N/A</v>
      </c>
      <c r="F664" t="s">
        <v>249</v>
      </c>
      <c r="G664"/>
    </row>
    <row r="665" spans="1:7" ht="15.75">
      <c r="A665" t="str">
        <f t="shared" si="10"/>
        <v>Cottens (VD)PACCHAUFF</v>
      </c>
      <c r="B665" s="148">
        <v>5478</v>
      </c>
      <c r="C665" s="148" t="s">
        <v>650</v>
      </c>
      <c r="D665" s="148" t="s">
        <v>69</v>
      </c>
      <c r="E665" s="148" t="e">
        <v>#N/A</v>
      </c>
      <c r="F665" t="s">
        <v>249</v>
      </c>
      <c r="G665"/>
    </row>
    <row r="666" spans="1:7" ht="15.75">
      <c r="A666" t="str">
        <f t="shared" si="10"/>
        <v>Cottens (VD)SolaireCHAUFF</v>
      </c>
      <c r="B666" s="148">
        <v>5478</v>
      </c>
      <c r="C666" s="148" t="s">
        <v>650</v>
      </c>
      <c r="D666" s="148" t="s">
        <v>240</v>
      </c>
      <c r="E666" s="148" t="e">
        <v>#N/A</v>
      </c>
      <c r="F666" t="s">
        <v>249</v>
      </c>
      <c r="G666"/>
    </row>
    <row r="667" spans="1:7" ht="15.75">
      <c r="A667" t="str">
        <f t="shared" si="10"/>
        <v>CransBoisCHAUFF</v>
      </c>
      <c r="B667" s="148">
        <v>5713</v>
      </c>
      <c r="C667" s="148" t="s">
        <v>684</v>
      </c>
      <c r="D667" s="148" t="s">
        <v>66</v>
      </c>
      <c r="E667" s="148">
        <v>521511.35372547997</v>
      </c>
      <c r="F667" t="s">
        <v>249</v>
      </c>
      <c r="G667"/>
    </row>
    <row r="668" spans="1:7" ht="15.75">
      <c r="A668" t="str">
        <f t="shared" si="10"/>
        <v>CransCADCHAUFF</v>
      </c>
      <c r="B668" s="148">
        <v>5713</v>
      </c>
      <c r="C668" s="148" t="s">
        <v>684</v>
      </c>
      <c r="D668" s="148" t="s">
        <v>242</v>
      </c>
      <c r="E668" s="148">
        <v>6468</v>
      </c>
      <c r="F668" t="s">
        <v>249</v>
      </c>
      <c r="G668"/>
    </row>
    <row r="669" spans="1:7" ht="15.75">
      <c r="A669" t="str">
        <f t="shared" si="10"/>
        <v>CransCharbonCHAUFF</v>
      </c>
      <c r="B669" s="148">
        <v>5713</v>
      </c>
      <c r="C669" s="148" t="s">
        <v>684</v>
      </c>
      <c r="D669" s="148" t="s">
        <v>695</v>
      </c>
      <c r="E669" s="148" t="e">
        <v>#N/A</v>
      </c>
      <c r="F669" t="s">
        <v>249</v>
      </c>
      <c r="G669"/>
    </row>
    <row r="670" spans="1:7" ht="15.75">
      <c r="A670" t="str">
        <f t="shared" si="10"/>
        <v>CransElectricitéCHAUFF</v>
      </c>
      <c r="B670" s="148">
        <v>5713</v>
      </c>
      <c r="C670" s="148" t="s">
        <v>684</v>
      </c>
      <c r="D670" s="148" t="s">
        <v>97</v>
      </c>
      <c r="E670" s="148">
        <v>6427874.4946236862</v>
      </c>
      <c r="F670" t="s">
        <v>249</v>
      </c>
      <c r="G670"/>
    </row>
    <row r="671" spans="1:7" ht="15.75">
      <c r="A671" t="str">
        <f t="shared" si="10"/>
        <v>CransGazCHAUFF</v>
      </c>
      <c r="B671" s="148">
        <v>5713</v>
      </c>
      <c r="C671" s="148" t="s">
        <v>684</v>
      </c>
      <c r="D671" s="148" t="s">
        <v>239</v>
      </c>
      <c r="E671" s="148">
        <v>166833.75851392999</v>
      </c>
      <c r="F671" t="s">
        <v>249</v>
      </c>
      <c r="G671"/>
    </row>
    <row r="672" spans="1:7" ht="15.75">
      <c r="A672" t="str">
        <f t="shared" si="10"/>
        <v>CransMazoutCHAUFF</v>
      </c>
      <c r="B672" s="148">
        <v>5713</v>
      </c>
      <c r="C672" s="148" t="s">
        <v>684</v>
      </c>
      <c r="D672" s="148" t="s">
        <v>70</v>
      </c>
      <c r="E672" s="148">
        <v>15891098.241176575</v>
      </c>
      <c r="F672" t="s">
        <v>249</v>
      </c>
      <c r="G672"/>
    </row>
    <row r="673" spans="1:7" ht="15.75">
      <c r="A673" t="str">
        <f t="shared" si="10"/>
        <v>CransNon renseignéCHAUFF</v>
      </c>
      <c r="B673" s="148">
        <v>5713</v>
      </c>
      <c r="C673" s="148" t="s">
        <v>684</v>
      </c>
      <c r="D673" s="148" t="s">
        <v>696</v>
      </c>
      <c r="E673" s="148">
        <v>0</v>
      </c>
      <c r="F673" t="s">
        <v>249</v>
      </c>
      <c r="G673"/>
    </row>
    <row r="674" spans="1:7" ht="15.75">
      <c r="A674" t="str">
        <f t="shared" si="10"/>
        <v>CransPACCHAUFF</v>
      </c>
      <c r="B674" s="148">
        <v>5713</v>
      </c>
      <c r="C674" s="148" t="s">
        <v>684</v>
      </c>
      <c r="D674" s="148" t="s">
        <v>69</v>
      </c>
      <c r="E674" s="148">
        <v>1048690.637785</v>
      </c>
      <c r="F674" t="s">
        <v>249</v>
      </c>
      <c r="G674"/>
    </row>
    <row r="675" spans="1:7" ht="15.75">
      <c r="A675" t="str">
        <f t="shared" si="10"/>
        <v>CransSolaireCHAUFF</v>
      </c>
      <c r="B675" s="148">
        <v>5713</v>
      </c>
      <c r="C675" s="148" t="s">
        <v>684</v>
      </c>
      <c r="D675" s="148" t="s">
        <v>240</v>
      </c>
      <c r="E675" s="148">
        <v>745416</v>
      </c>
      <c r="F675" t="s">
        <v>249</v>
      </c>
      <c r="G675"/>
    </row>
    <row r="676" spans="1:7" ht="15.75">
      <c r="A676" t="str">
        <f t="shared" si="10"/>
        <v>CrassierBoisCHAUFF</v>
      </c>
      <c r="B676" s="148">
        <v>5714</v>
      </c>
      <c r="C676" s="148" t="s">
        <v>439</v>
      </c>
      <c r="D676" s="148" t="s">
        <v>66</v>
      </c>
      <c r="E676" s="148">
        <v>1117618.7764705901</v>
      </c>
      <c r="F676" t="s">
        <v>249</v>
      </c>
      <c r="G676"/>
    </row>
    <row r="677" spans="1:7" ht="15.75">
      <c r="A677" t="str">
        <f t="shared" si="10"/>
        <v>CrassierCADCHAUFF</v>
      </c>
      <c r="B677" s="148">
        <v>5714</v>
      </c>
      <c r="C677" s="148" t="s">
        <v>439</v>
      </c>
      <c r="D677" s="148" t="s">
        <v>242</v>
      </c>
      <c r="E677" s="148">
        <v>60336.800000000003</v>
      </c>
      <c r="F677" t="s">
        <v>249</v>
      </c>
      <c r="G677"/>
    </row>
    <row r="678" spans="1:7" ht="15.75">
      <c r="A678" t="str">
        <f t="shared" si="10"/>
        <v>CrassierElectricitéCHAUFF</v>
      </c>
      <c r="B678" s="148">
        <v>5714</v>
      </c>
      <c r="C678" s="148" t="s">
        <v>439</v>
      </c>
      <c r="D678" s="148" t="s">
        <v>97</v>
      </c>
      <c r="E678" s="148">
        <v>1748130.3225806595</v>
      </c>
      <c r="F678" t="s">
        <v>249</v>
      </c>
      <c r="G678"/>
    </row>
    <row r="679" spans="1:7" ht="15.75">
      <c r="A679" t="str">
        <f t="shared" si="10"/>
        <v>CrassierGazCHAUFF</v>
      </c>
      <c r="B679" s="148">
        <v>5714</v>
      </c>
      <c r="C679" s="148" t="s">
        <v>439</v>
      </c>
      <c r="D679" s="148" t="s">
        <v>239</v>
      </c>
      <c r="E679" s="148">
        <v>440367.52941174991</v>
      </c>
      <c r="F679" t="s">
        <v>249</v>
      </c>
      <c r="G679"/>
    </row>
    <row r="680" spans="1:7" ht="15.75">
      <c r="A680" t="str">
        <f t="shared" si="10"/>
        <v>CrassierMazoutCHAUFF</v>
      </c>
      <c r="B680" s="148">
        <v>5714</v>
      </c>
      <c r="C680" s="148" t="s">
        <v>439</v>
      </c>
      <c r="D680" s="148" t="s">
        <v>70</v>
      </c>
      <c r="E680" s="148">
        <v>6204276.0000000186</v>
      </c>
      <c r="F680" t="s">
        <v>249</v>
      </c>
      <c r="G680"/>
    </row>
    <row r="681" spans="1:7" ht="15.75">
      <c r="A681" t="str">
        <f t="shared" si="10"/>
        <v>CrassierNon renseignéCHAUFF</v>
      </c>
      <c r="B681" s="148">
        <v>5714</v>
      </c>
      <c r="C681" s="148" t="s">
        <v>439</v>
      </c>
      <c r="D681" s="148" t="s">
        <v>696</v>
      </c>
      <c r="E681" s="148">
        <v>0</v>
      </c>
      <c r="F681" t="s">
        <v>249</v>
      </c>
      <c r="G681"/>
    </row>
    <row r="682" spans="1:7" ht="15.75">
      <c r="A682" t="str">
        <f t="shared" si="10"/>
        <v>CrassierPACCHAUFF</v>
      </c>
      <c r="B682" s="148">
        <v>5714</v>
      </c>
      <c r="C682" s="148" t="s">
        <v>439</v>
      </c>
      <c r="D682" s="148" t="s">
        <v>69</v>
      </c>
      <c r="E682" s="148">
        <v>344491.44969094003</v>
      </c>
      <c r="F682" t="s">
        <v>249</v>
      </c>
      <c r="G682"/>
    </row>
    <row r="683" spans="1:7" ht="15.75">
      <c r="A683" t="str">
        <f t="shared" si="10"/>
        <v>CrassierSolaireCHAUFF</v>
      </c>
      <c r="B683" s="148">
        <v>5714</v>
      </c>
      <c r="C683" s="148" t="s">
        <v>439</v>
      </c>
      <c r="D683" s="148" t="s">
        <v>240</v>
      </c>
      <c r="E683" s="148" t="e">
        <v>#N/A</v>
      </c>
      <c r="F683" t="s">
        <v>249</v>
      </c>
      <c r="G683"/>
    </row>
    <row r="684" spans="1:7" ht="15.75">
      <c r="A684" t="str">
        <f t="shared" si="10"/>
        <v>CrissierBoisCHAUFF</v>
      </c>
      <c r="B684" s="148">
        <v>5583</v>
      </c>
      <c r="C684" s="148" t="s">
        <v>440</v>
      </c>
      <c r="D684" s="148" t="s">
        <v>66</v>
      </c>
      <c r="E684" s="148">
        <v>340100.15686274995</v>
      </c>
      <c r="F684" t="s">
        <v>249</v>
      </c>
      <c r="G684"/>
    </row>
    <row r="685" spans="1:7" ht="15.75">
      <c r="A685" t="str">
        <f t="shared" si="10"/>
        <v>CrissierCADCHAUFF</v>
      </c>
      <c r="B685" s="148">
        <v>5583</v>
      </c>
      <c r="C685" s="148" t="s">
        <v>440</v>
      </c>
      <c r="D685" s="148" t="s">
        <v>242</v>
      </c>
      <c r="E685" s="148">
        <v>10212671.6</v>
      </c>
      <c r="F685" t="s">
        <v>249</v>
      </c>
      <c r="G685"/>
    </row>
    <row r="686" spans="1:7" ht="15.75">
      <c r="A686" t="str">
        <f t="shared" si="10"/>
        <v>CrissierElectricitéCHAUFF</v>
      </c>
      <c r="B686" s="148">
        <v>5583</v>
      </c>
      <c r="C686" s="148" t="s">
        <v>440</v>
      </c>
      <c r="D686" s="148" t="s">
        <v>97</v>
      </c>
      <c r="E686" s="148">
        <v>4703231.2043009503</v>
      </c>
      <c r="F686" t="s">
        <v>249</v>
      </c>
      <c r="G686"/>
    </row>
    <row r="687" spans="1:7" ht="15.75">
      <c r="A687" t="str">
        <f t="shared" si="10"/>
        <v>CrissierGazCHAUFF</v>
      </c>
      <c r="B687" s="148">
        <v>5583</v>
      </c>
      <c r="C687" s="148" t="s">
        <v>440</v>
      </c>
      <c r="D687" s="148" t="s">
        <v>239</v>
      </c>
      <c r="E687" s="148">
        <v>56704043.10454081</v>
      </c>
      <c r="F687" t="s">
        <v>249</v>
      </c>
      <c r="G687"/>
    </row>
    <row r="688" spans="1:7" ht="15.75">
      <c r="A688" t="str">
        <f t="shared" si="10"/>
        <v>CrissierMazoutCHAUFF</v>
      </c>
      <c r="B688" s="148">
        <v>5583</v>
      </c>
      <c r="C688" s="148" t="s">
        <v>440</v>
      </c>
      <c r="D688" s="148" t="s">
        <v>70</v>
      </c>
      <c r="E688" s="148">
        <v>22410683.681318641</v>
      </c>
      <c r="F688" t="s">
        <v>249</v>
      </c>
      <c r="G688"/>
    </row>
    <row r="689" spans="1:7" ht="15.75">
      <c r="A689" t="str">
        <f t="shared" si="10"/>
        <v>CrissierNon renseignéCHAUFF</v>
      </c>
      <c r="B689" s="148">
        <v>5583</v>
      </c>
      <c r="C689" s="148" t="s">
        <v>440</v>
      </c>
      <c r="D689" s="148" t="s">
        <v>696</v>
      </c>
      <c r="E689" s="148">
        <v>0</v>
      </c>
      <c r="F689" t="s">
        <v>249</v>
      </c>
      <c r="G689"/>
    </row>
    <row r="690" spans="1:7" ht="15.75">
      <c r="A690" t="str">
        <f t="shared" si="10"/>
        <v>CrissierPACCHAUFF</v>
      </c>
      <c r="B690" s="148">
        <v>5583</v>
      </c>
      <c r="C690" s="148" t="s">
        <v>440</v>
      </c>
      <c r="D690" s="148" t="s">
        <v>69</v>
      </c>
      <c r="E690" s="148">
        <v>373008.05883330002</v>
      </c>
      <c r="F690" t="s">
        <v>249</v>
      </c>
      <c r="G690"/>
    </row>
    <row r="691" spans="1:7" ht="15.75">
      <c r="A691" t="str">
        <f t="shared" si="10"/>
        <v>CrissierSolaireCHAUFF</v>
      </c>
      <c r="B691" s="148">
        <v>5583</v>
      </c>
      <c r="C691" s="148" t="s">
        <v>440</v>
      </c>
      <c r="D691" s="148" t="s">
        <v>240</v>
      </c>
      <c r="E691" s="148" t="e">
        <v>#N/A</v>
      </c>
      <c r="F691" t="s">
        <v>249</v>
      </c>
      <c r="G691"/>
    </row>
    <row r="692" spans="1:7" ht="15.75">
      <c r="A692" t="str">
        <f t="shared" si="10"/>
        <v>CronayBoisCHAUFF</v>
      </c>
      <c r="B692" s="148">
        <v>5910</v>
      </c>
      <c r="C692" s="148" t="s">
        <v>441</v>
      </c>
      <c r="D692" s="148" t="s">
        <v>66</v>
      </c>
      <c r="E692" s="148">
        <v>1444129.33333333</v>
      </c>
      <c r="F692" t="s">
        <v>249</v>
      </c>
      <c r="G692"/>
    </row>
    <row r="693" spans="1:7" ht="15.75">
      <c r="A693" t="str">
        <f t="shared" si="10"/>
        <v>CronayCADCHAUFF</v>
      </c>
      <c r="B693" s="148">
        <v>5910</v>
      </c>
      <c r="C693" s="148" t="s">
        <v>441</v>
      </c>
      <c r="D693" s="148" t="s">
        <v>242</v>
      </c>
      <c r="E693" s="148">
        <v>68645.600000000006</v>
      </c>
      <c r="F693" t="s">
        <v>249</v>
      </c>
      <c r="G693"/>
    </row>
    <row r="694" spans="1:7" ht="15.75">
      <c r="A694" t="str">
        <f t="shared" si="10"/>
        <v>CronayElectricitéCHAUFF</v>
      </c>
      <c r="B694" s="148">
        <v>5910</v>
      </c>
      <c r="C694" s="148" t="s">
        <v>441</v>
      </c>
      <c r="D694" s="148" t="s">
        <v>97</v>
      </c>
      <c r="E694" s="148">
        <v>503291.61290320999</v>
      </c>
      <c r="F694" t="s">
        <v>249</v>
      </c>
      <c r="G694"/>
    </row>
    <row r="695" spans="1:7" ht="15.75">
      <c r="A695" t="str">
        <f t="shared" si="10"/>
        <v>CronayGazCHAUFF</v>
      </c>
      <c r="B695" s="148">
        <v>5910</v>
      </c>
      <c r="C695" s="148" t="s">
        <v>441</v>
      </c>
      <c r="D695" s="148" t="s">
        <v>239</v>
      </c>
      <c r="E695" s="148">
        <v>520689.84520123992</v>
      </c>
      <c r="F695" t="s">
        <v>249</v>
      </c>
      <c r="G695"/>
    </row>
    <row r="696" spans="1:7" ht="15.75">
      <c r="A696" t="str">
        <f t="shared" si="10"/>
        <v>CronayMazoutCHAUFF</v>
      </c>
      <c r="B696" s="148">
        <v>5910</v>
      </c>
      <c r="C696" s="148" t="s">
        <v>441</v>
      </c>
      <c r="D696" s="148" t="s">
        <v>70</v>
      </c>
      <c r="E696" s="148">
        <v>3782282.2588235317</v>
      </c>
      <c r="F696" t="s">
        <v>249</v>
      </c>
      <c r="G696"/>
    </row>
    <row r="697" spans="1:7" ht="15.75">
      <c r="A697" t="str">
        <f t="shared" si="10"/>
        <v>CronayNon renseignéCHAUFF</v>
      </c>
      <c r="B697" s="148">
        <v>5910</v>
      </c>
      <c r="C697" s="148" t="s">
        <v>441</v>
      </c>
      <c r="D697" s="148" t="s">
        <v>696</v>
      </c>
      <c r="E697" s="148">
        <v>0</v>
      </c>
      <c r="F697" t="s">
        <v>249</v>
      </c>
      <c r="G697"/>
    </row>
    <row r="698" spans="1:7" ht="15.75">
      <c r="A698" t="str">
        <f t="shared" si="10"/>
        <v>CronayPACCHAUFF</v>
      </c>
      <c r="B698" s="148">
        <v>5910</v>
      </c>
      <c r="C698" s="148" t="s">
        <v>441</v>
      </c>
      <c r="D698" s="148" t="s">
        <v>69</v>
      </c>
      <c r="E698" s="148">
        <v>113575.03703706001</v>
      </c>
      <c r="F698" t="s">
        <v>249</v>
      </c>
      <c r="G698"/>
    </row>
    <row r="699" spans="1:7" ht="15.75">
      <c r="A699" t="str">
        <f t="shared" si="10"/>
        <v>CronaySolaireCHAUFF</v>
      </c>
      <c r="B699" s="148">
        <v>5910</v>
      </c>
      <c r="C699" s="148" t="s">
        <v>441</v>
      </c>
      <c r="D699" s="148" t="s">
        <v>240</v>
      </c>
      <c r="E699" s="148" t="e">
        <v>#N/A</v>
      </c>
      <c r="F699" t="s">
        <v>249</v>
      </c>
      <c r="G699"/>
    </row>
    <row r="700" spans="1:7" ht="15.75">
      <c r="A700" t="str">
        <f t="shared" si="10"/>
        <v>CroyBoisCHAUFF</v>
      </c>
      <c r="B700" s="148">
        <v>5752</v>
      </c>
      <c r="C700" s="148" t="s">
        <v>442</v>
      </c>
      <c r="D700" s="148" t="s">
        <v>66</v>
      </c>
      <c r="E700" s="148">
        <v>444039.07450980996</v>
      </c>
      <c r="F700" t="s">
        <v>249</v>
      </c>
      <c r="G700"/>
    </row>
    <row r="701" spans="1:7" ht="15.75">
      <c r="A701" t="str">
        <f t="shared" si="10"/>
        <v>CroyElectricitéCHAUFF</v>
      </c>
      <c r="B701" s="148">
        <v>5752</v>
      </c>
      <c r="C701" s="148" t="s">
        <v>442</v>
      </c>
      <c r="D701" s="148" t="s">
        <v>97</v>
      </c>
      <c r="E701" s="148">
        <v>600297.84946237993</v>
      </c>
      <c r="F701" t="s">
        <v>249</v>
      </c>
      <c r="G701"/>
    </row>
    <row r="702" spans="1:7" ht="15.75">
      <c r="A702" t="str">
        <f t="shared" si="10"/>
        <v>CroyGazCHAUFF</v>
      </c>
      <c r="B702" s="148">
        <v>5752</v>
      </c>
      <c r="C702" s="148" t="s">
        <v>442</v>
      </c>
      <c r="D702" s="148" t="s">
        <v>239</v>
      </c>
      <c r="E702" s="148">
        <v>1652667.3702786397</v>
      </c>
      <c r="F702" t="s">
        <v>249</v>
      </c>
      <c r="G702"/>
    </row>
    <row r="703" spans="1:7" ht="15.75">
      <c r="A703" t="str">
        <f t="shared" si="10"/>
        <v>CroyMazoutCHAUFF</v>
      </c>
      <c r="B703" s="148">
        <v>5752</v>
      </c>
      <c r="C703" s="148" t="s">
        <v>442</v>
      </c>
      <c r="D703" s="148" t="s">
        <v>70</v>
      </c>
      <c r="E703" s="148">
        <v>2045952.2352941399</v>
      </c>
      <c r="F703" t="s">
        <v>249</v>
      </c>
      <c r="G703"/>
    </row>
    <row r="704" spans="1:7" ht="15.75">
      <c r="A704" t="str">
        <f t="shared" si="10"/>
        <v>CroyNon renseignéCHAUFF</v>
      </c>
      <c r="B704" s="148">
        <v>5752</v>
      </c>
      <c r="C704" s="148" t="s">
        <v>442</v>
      </c>
      <c r="D704" s="148" t="s">
        <v>696</v>
      </c>
      <c r="E704" s="148">
        <v>0</v>
      </c>
      <c r="F704" t="s">
        <v>249</v>
      </c>
      <c r="G704"/>
    </row>
    <row r="705" spans="1:7" ht="15.75">
      <c r="A705" t="str">
        <f t="shared" si="10"/>
        <v>CroyPACCHAUFF</v>
      </c>
      <c r="B705" s="148">
        <v>5752</v>
      </c>
      <c r="C705" s="148" t="s">
        <v>442</v>
      </c>
      <c r="D705" s="148" t="s">
        <v>69</v>
      </c>
      <c r="E705" s="148">
        <v>110655.11111113</v>
      </c>
      <c r="F705" t="s">
        <v>249</v>
      </c>
      <c r="G705"/>
    </row>
    <row r="706" spans="1:7" ht="15.75">
      <c r="A706" t="str">
        <f t="shared" si="10"/>
        <v>CroySolaireCHAUFF</v>
      </c>
      <c r="B706" s="148">
        <v>5752</v>
      </c>
      <c r="C706" s="148" t="s">
        <v>442</v>
      </c>
      <c r="D706" s="148" t="s">
        <v>240</v>
      </c>
      <c r="E706" s="148" t="e">
        <v>#N/A</v>
      </c>
      <c r="F706" t="s">
        <v>249</v>
      </c>
      <c r="G706"/>
    </row>
    <row r="707" spans="1:7" ht="15.75">
      <c r="A707" t="str">
        <f t="shared" ref="A707:A770" si="11">_xlfn.CONCAT(C707,D707,F707)</f>
        <v>CuarnensBoisCHAUFF</v>
      </c>
      <c r="B707" s="148">
        <v>5479</v>
      </c>
      <c r="C707" s="148" t="s">
        <v>443</v>
      </c>
      <c r="D707" s="148" t="s">
        <v>66</v>
      </c>
      <c r="E707" s="148">
        <v>1630000.2666666801</v>
      </c>
      <c r="F707" t="s">
        <v>249</v>
      </c>
      <c r="G707"/>
    </row>
    <row r="708" spans="1:7" ht="15.75">
      <c r="A708" t="str">
        <f t="shared" si="11"/>
        <v>CuarnensCADCHAUFF</v>
      </c>
      <c r="B708" s="148">
        <v>5479</v>
      </c>
      <c r="C708" s="148" t="s">
        <v>443</v>
      </c>
      <c r="D708" s="148" t="s">
        <v>242</v>
      </c>
      <c r="E708" s="148">
        <v>98996</v>
      </c>
      <c r="F708" t="s">
        <v>249</v>
      </c>
      <c r="G708"/>
    </row>
    <row r="709" spans="1:7" ht="15.75">
      <c r="A709" t="str">
        <f t="shared" si="11"/>
        <v>CuarnensElectricitéCHAUFF</v>
      </c>
      <c r="B709" s="148">
        <v>5479</v>
      </c>
      <c r="C709" s="148" t="s">
        <v>443</v>
      </c>
      <c r="D709" s="148" t="s">
        <v>97</v>
      </c>
      <c r="E709" s="148">
        <v>904572.30107529997</v>
      </c>
      <c r="F709" t="s">
        <v>249</v>
      </c>
      <c r="G709"/>
    </row>
    <row r="710" spans="1:7" ht="15.75">
      <c r="A710" t="str">
        <f t="shared" si="11"/>
        <v>CuarnensGazCHAUFF</v>
      </c>
      <c r="B710" s="148">
        <v>5479</v>
      </c>
      <c r="C710" s="148" t="s">
        <v>443</v>
      </c>
      <c r="D710" s="148" t="s">
        <v>239</v>
      </c>
      <c r="E710" s="148">
        <v>3934548.881114549</v>
      </c>
      <c r="F710" t="s">
        <v>249</v>
      </c>
      <c r="G710"/>
    </row>
    <row r="711" spans="1:7" ht="15.75">
      <c r="A711" t="str">
        <f t="shared" si="11"/>
        <v>CuarnensMazoutCHAUFF</v>
      </c>
      <c r="B711" s="148">
        <v>5479</v>
      </c>
      <c r="C711" s="148" t="s">
        <v>443</v>
      </c>
      <c r="D711" s="148" t="s">
        <v>70</v>
      </c>
      <c r="E711" s="148">
        <v>1975507.29411764</v>
      </c>
      <c r="F711" t="s">
        <v>249</v>
      </c>
      <c r="G711"/>
    </row>
    <row r="712" spans="1:7" ht="15.75">
      <c r="A712" t="str">
        <f t="shared" si="11"/>
        <v>CuarnensNon renseignéCHAUFF</v>
      </c>
      <c r="B712" s="148">
        <v>5479</v>
      </c>
      <c r="C712" s="148" t="s">
        <v>443</v>
      </c>
      <c r="D712" s="148" t="s">
        <v>696</v>
      </c>
      <c r="E712" s="148">
        <v>0</v>
      </c>
      <c r="F712" t="s">
        <v>249</v>
      </c>
      <c r="G712"/>
    </row>
    <row r="713" spans="1:7" ht="15.75">
      <c r="A713" t="str">
        <f t="shared" si="11"/>
        <v>CuarnensPACCHAUFF</v>
      </c>
      <c r="B713" s="148">
        <v>5479</v>
      </c>
      <c r="C713" s="148" t="s">
        <v>443</v>
      </c>
      <c r="D713" s="148" t="s">
        <v>69</v>
      </c>
      <c r="E713" s="148">
        <v>29870.222222220003</v>
      </c>
      <c r="F713" t="s">
        <v>249</v>
      </c>
      <c r="G713"/>
    </row>
    <row r="714" spans="1:7" ht="15.75">
      <c r="A714" t="str">
        <f t="shared" si="11"/>
        <v>CuarnensSolaireCHAUFF</v>
      </c>
      <c r="B714" s="148">
        <v>5479</v>
      </c>
      <c r="C714" s="148" t="s">
        <v>443</v>
      </c>
      <c r="D714" s="148" t="s">
        <v>240</v>
      </c>
      <c r="E714" s="148">
        <v>18360</v>
      </c>
      <c r="F714" t="s">
        <v>249</v>
      </c>
      <c r="G714"/>
    </row>
    <row r="715" spans="1:7" ht="15.75">
      <c r="A715" t="str">
        <f t="shared" si="11"/>
        <v>CuarnyAutre agent énergétiqueCHAUFF</v>
      </c>
      <c r="B715" s="148">
        <v>5911</v>
      </c>
      <c r="C715" s="148" t="s">
        <v>444</v>
      </c>
      <c r="D715" s="148" t="s">
        <v>245</v>
      </c>
      <c r="E715" s="148">
        <v>14738.82352941</v>
      </c>
      <c r="F715" t="s">
        <v>249</v>
      </c>
      <c r="G715"/>
    </row>
    <row r="716" spans="1:7" ht="15.75">
      <c r="A716" t="str">
        <f t="shared" si="11"/>
        <v>CuarnyBoisCHAUFF</v>
      </c>
      <c r="B716" s="148">
        <v>5911</v>
      </c>
      <c r="C716" s="148" t="s">
        <v>444</v>
      </c>
      <c r="D716" s="148" t="s">
        <v>66</v>
      </c>
      <c r="E716" s="148">
        <v>1310274.5254901901</v>
      </c>
      <c r="F716" t="s">
        <v>249</v>
      </c>
      <c r="G716"/>
    </row>
    <row r="717" spans="1:7" ht="15.75">
      <c r="A717" t="str">
        <f t="shared" si="11"/>
        <v>CuarnyCADCHAUFF</v>
      </c>
      <c r="B717" s="148">
        <v>5911</v>
      </c>
      <c r="C717" s="148" t="s">
        <v>444</v>
      </c>
      <c r="D717" s="148" t="s">
        <v>242</v>
      </c>
      <c r="E717" s="148">
        <v>38680</v>
      </c>
      <c r="F717" t="s">
        <v>249</v>
      </c>
      <c r="G717"/>
    </row>
    <row r="718" spans="1:7" ht="15.75">
      <c r="A718" t="str">
        <f t="shared" si="11"/>
        <v>CuarnyElectricitéCHAUFF</v>
      </c>
      <c r="B718" s="148">
        <v>5911</v>
      </c>
      <c r="C718" s="148" t="s">
        <v>444</v>
      </c>
      <c r="D718" s="148" t="s">
        <v>97</v>
      </c>
      <c r="E718" s="148">
        <v>107431.39784947</v>
      </c>
      <c r="F718" t="s">
        <v>249</v>
      </c>
      <c r="G718"/>
    </row>
    <row r="719" spans="1:7" ht="15.75">
      <c r="A719" t="str">
        <f t="shared" si="11"/>
        <v>CuarnyGazCHAUFF</v>
      </c>
      <c r="B719" s="148">
        <v>5911</v>
      </c>
      <c r="C719" s="148" t="s">
        <v>444</v>
      </c>
      <c r="D719" s="148" t="s">
        <v>239</v>
      </c>
      <c r="E719" s="148">
        <v>430771.7647058799</v>
      </c>
      <c r="F719" t="s">
        <v>249</v>
      </c>
      <c r="G719"/>
    </row>
    <row r="720" spans="1:7" ht="15.75">
      <c r="A720" t="str">
        <f t="shared" si="11"/>
        <v>CuarnyMazoutCHAUFF</v>
      </c>
      <c r="B720" s="148">
        <v>5911</v>
      </c>
      <c r="C720" s="148" t="s">
        <v>444</v>
      </c>
      <c r="D720" s="148" t="s">
        <v>70</v>
      </c>
      <c r="E720" s="148">
        <v>1971973.5294117606</v>
      </c>
      <c r="F720" t="s">
        <v>249</v>
      </c>
      <c r="G720"/>
    </row>
    <row r="721" spans="1:7" ht="15.75">
      <c r="A721" t="str">
        <f t="shared" si="11"/>
        <v>CuarnyNon renseignéCHAUFF</v>
      </c>
      <c r="B721" s="148">
        <v>5911</v>
      </c>
      <c r="C721" s="148" t="s">
        <v>444</v>
      </c>
      <c r="D721" s="148" t="s">
        <v>696</v>
      </c>
      <c r="E721" s="148">
        <v>0</v>
      </c>
      <c r="F721" t="s">
        <v>249</v>
      </c>
      <c r="G721"/>
    </row>
    <row r="722" spans="1:7" ht="15.75">
      <c r="A722" t="str">
        <f t="shared" si="11"/>
        <v>CuarnyPACCHAUFF</v>
      </c>
      <c r="B722" s="148">
        <v>5911</v>
      </c>
      <c r="C722" s="148" t="s">
        <v>444</v>
      </c>
      <c r="D722" s="148" t="s">
        <v>69</v>
      </c>
      <c r="E722" s="148">
        <v>54105.656296289992</v>
      </c>
      <c r="F722" t="s">
        <v>249</v>
      </c>
      <c r="G722"/>
    </row>
    <row r="723" spans="1:7" ht="15.75">
      <c r="A723" t="str">
        <f t="shared" si="11"/>
        <v>CuarnySolaireCHAUFF</v>
      </c>
      <c r="B723" s="148">
        <v>5911</v>
      </c>
      <c r="C723" s="148" t="s">
        <v>444</v>
      </c>
      <c r="D723" s="148" t="s">
        <v>240</v>
      </c>
      <c r="E723" s="148" t="e">
        <v>#N/A</v>
      </c>
      <c r="F723" t="s">
        <v>249</v>
      </c>
      <c r="G723"/>
    </row>
    <row r="724" spans="1:7" ht="15.75">
      <c r="A724" t="str">
        <f t="shared" si="11"/>
        <v>CudrefinAutre agent énergétiqueCHAUFF</v>
      </c>
      <c r="B724" s="148">
        <v>5456</v>
      </c>
      <c r="C724" s="148" t="s">
        <v>445</v>
      </c>
      <c r="D724" s="148" t="s">
        <v>245</v>
      </c>
      <c r="E724" s="148">
        <v>141044.47058823</v>
      </c>
      <c r="F724" t="s">
        <v>249</v>
      </c>
      <c r="G724"/>
    </row>
    <row r="725" spans="1:7" ht="15.75">
      <c r="A725" t="str">
        <f t="shared" si="11"/>
        <v>CudrefinBoisCHAUFF</v>
      </c>
      <c r="B725" s="148">
        <v>5456</v>
      </c>
      <c r="C725" s="148" t="s">
        <v>445</v>
      </c>
      <c r="D725" s="148" t="s">
        <v>66</v>
      </c>
      <c r="E725" s="148">
        <v>1937554.7215686298</v>
      </c>
      <c r="F725" t="s">
        <v>249</v>
      </c>
      <c r="G725"/>
    </row>
    <row r="726" spans="1:7" ht="15.75">
      <c r="A726" t="str">
        <f t="shared" si="11"/>
        <v>CudrefinCADCHAUFF</v>
      </c>
      <c r="B726" s="148">
        <v>5456</v>
      </c>
      <c r="C726" s="148" t="s">
        <v>445</v>
      </c>
      <c r="D726" s="148" t="s">
        <v>242</v>
      </c>
      <c r="E726" s="148">
        <v>38812.5</v>
      </c>
      <c r="F726" t="s">
        <v>249</v>
      </c>
      <c r="G726"/>
    </row>
    <row r="727" spans="1:7" ht="15.75">
      <c r="A727" t="str">
        <f t="shared" si="11"/>
        <v>CudrefinElectricitéCHAUFF</v>
      </c>
      <c r="B727" s="148">
        <v>5456</v>
      </c>
      <c r="C727" s="148" t="s">
        <v>445</v>
      </c>
      <c r="D727" s="148" t="s">
        <v>97</v>
      </c>
      <c r="E727" s="148">
        <v>2026885.2688171694</v>
      </c>
      <c r="F727" t="s">
        <v>249</v>
      </c>
      <c r="G727"/>
    </row>
    <row r="728" spans="1:7" ht="15.75">
      <c r="A728" t="str">
        <f t="shared" si="11"/>
        <v>CudrefinGazCHAUFF</v>
      </c>
      <c r="B728" s="148">
        <v>5456</v>
      </c>
      <c r="C728" s="148" t="s">
        <v>445</v>
      </c>
      <c r="D728" s="148" t="s">
        <v>239</v>
      </c>
      <c r="E728" s="148">
        <v>478908.25263159</v>
      </c>
      <c r="F728" t="s">
        <v>249</v>
      </c>
      <c r="G728"/>
    </row>
    <row r="729" spans="1:7" ht="15.75">
      <c r="A729" t="str">
        <f t="shared" si="11"/>
        <v>CudrefinMazoutCHAUFF</v>
      </c>
      <c r="B729" s="148">
        <v>5456</v>
      </c>
      <c r="C729" s="148" t="s">
        <v>445</v>
      </c>
      <c r="D729" s="148" t="s">
        <v>70</v>
      </c>
      <c r="E729" s="148">
        <v>9565007.442146102</v>
      </c>
      <c r="F729" t="s">
        <v>249</v>
      </c>
      <c r="G729"/>
    </row>
    <row r="730" spans="1:7" ht="15.75">
      <c r="A730" t="str">
        <f t="shared" si="11"/>
        <v>CudrefinNon renseignéCHAUFF</v>
      </c>
      <c r="B730" s="148">
        <v>5456</v>
      </c>
      <c r="C730" s="148" t="s">
        <v>445</v>
      </c>
      <c r="D730" s="148" t="s">
        <v>696</v>
      </c>
      <c r="E730" s="148">
        <v>0</v>
      </c>
      <c r="F730" t="s">
        <v>249</v>
      </c>
      <c r="G730"/>
    </row>
    <row r="731" spans="1:7" ht="15.75">
      <c r="A731" t="str">
        <f t="shared" si="11"/>
        <v>CudrefinPACCHAUFF</v>
      </c>
      <c r="B731" s="148">
        <v>5456</v>
      </c>
      <c r="C731" s="148" t="s">
        <v>445</v>
      </c>
      <c r="D731" s="148" t="s">
        <v>69</v>
      </c>
      <c r="E731" s="148">
        <v>1906230.3930663604</v>
      </c>
      <c r="F731" t="s">
        <v>249</v>
      </c>
      <c r="G731"/>
    </row>
    <row r="732" spans="1:7" ht="15.75">
      <c r="A732" t="str">
        <f t="shared" si="11"/>
        <v>CudrefinSolaireCHAUFF</v>
      </c>
      <c r="B732" s="148">
        <v>5456</v>
      </c>
      <c r="C732" s="148" t="s">
        <v>445</v>
      </c>
      <c r="D732" s="148" t="s">
        <v>240</v>
      </c>
      <c r="E732" s="148">
        <v>43448</v>
      </c>
      <c r="F732" t="s">
        <v>249</v>
      </c>
      <c r="G732"/>
    </row>
    <row r="733" spans="1:7" ht="15.75">
      <c r="A733" t="str">
        <f t="shared" si="11"/>
        <v>Cugy (VD)Autre agent énergétiqueCHAUFF</v>
      </c>
      <c r="B733" s="148">
        <v>5516</v>
      </c>
      <c r="C733" s="148" t="s">
        <v>649</v>
      </c>
      <c r="D733" s="148" t="s">
        <v>245</v>
      </c>
      <c r="E733" s="148">
        <v>45284.705882359995</v>
      </c>
      <c r="F733" t="s">
        <v>249</v>
      </c>
      <c r="G733"/>
    </row>
    <row r="734" spans="1:7" ht="15.75">
      <c r="A734" t="str">
        <f t="shared" si="11"/>
        <v>Cugy (VD)BoisCHAUFF</v>
      </c>
      <c r="B734" s="148">
        <v>5516</v>
      </c>
      <c r="C734" s="148" t="s">
        <v>649</v>
      </c>
      <c r="D734" s="148" t="s">
        <v>66</v>
      </c>
      <c r="E734" s="148">
        <v>2996470.3137254794</v>
      </c>
      <c r="F734" t="s">
        <v>249</v>
      </c>
      <c r="G734"/>
    </row>
    <row r="735" spans="1:7" ht="15.75">
      <c r="A735" t="str">
        <f t="shared" si="11"/>
        <v>Cugy (VD)CADCHAUFF</v>
      </c>
      <c r="B735" s="148">
        <v>5516</v>
      </c>
      <c r="C735" s="148" t="s">
        <v>649</v>
      </c>
      <c r="D735" s="148" t="s">
        <v>242</v>
      </c>
      <c r="E735" s="148">
        <v>193204</v>
      </c>
      <c r="F735" t="s">
        <v>249</v>
      </c>
      <c r="G735"/>
    </row>
    <row r="736" spans="1:7" ht="15.75">
      <c r="A736" t="str">
        <f t="shared" si="11"/>
        <v>Cugy (VD)ElectricitéCHAUFF</v>
      </c>
      <c r="B736" s="148">
        <v>5516</v>
      </c>
      <c r="C736" s="148" t="s">
        <v>649</v>
      </c>
      <c r="D736" s="148" t="s">
        <v>97</v>
      </c>
      <c r="E736" s="148">
        <v>2845242.4731182694</v>
      </c>
      <c r="F736" t="s">
        <v>249</v>
      </c>
      <c r="G736"/>
    </row>
    <row r="737" spans="1:7" ht="15.75">
      <c r="A737" t="str">
        <f t="shared" si="11"/>
        <v>Cugy (VD)GazCHAUFF</v>
      </c>
      <c r="B737" s="148">
        <v>5516</v>
      </c>
      <c r="C737" s="148" t="s">
        <v>649</v>
      </c>
      <c r="D737" s="148" t="s">
        <v>239</v>
      </c>
      <c r="E737" s="148">
        <v>5249044.7473684801</v>
      </c>
      <c r="F737" t="s">
        <v>249</v>
      </c>
      <c r="G737"/>
    </row>
    <row r="738" spans="1:7" ht="15.75">
      <c r="A738" t="str">
        <f t="shared" si="11"/>
        <v>Cugy (VD)MazoutCHAUFF</v>
      </c>
      <c r="B738" s="148">
        <v>5516</v>
      </c>
      <c r="C738" s="148" t="s">
        <v>649</v>
      </c>
      <c r="D738" s="148" t="s">
        <v>70</v>
      </c>
      <c r="E738" s="148">
        <v>14748202.76470595</v>
      </c>
      <c r="F738" t="s">
        <v>249</v>
      </c>
      <c r="G738"/>
    </row>
    <row r="739" spans="1:7" ht="15.75">
      <c r="A739" t="str">
        <f t="shared" si="11"/>
        <v>Cugy (VD)Non renseignéCHAUFF</v>
      </c>
      <c r="B739" s="148">
        <v>5516</v>
      </c>
      <c r="C739" s="148" t="s">
        <v>649</v>
      </c>
      <c r="D739" s="148" t="s">
        <v>696</v>
      </c>
      <c r="E739" s="148">
        <v>0</v>
      </c>
      <c r="F739" t="s">
        <v>249</v>
      </c>
      <c r="G739"/>
    </row>
    <row r="740" spans="1:7" ht="15.75">
      <c r="A740" t="str">
        <f t="shared" si="11"/>
        <v>Cugy (VD)PACCHAUFF</v>
      </c>
      <c r="B740" s="148">
        <v>5516</v>
      </c>
      <c r="C740" s="148" t="s">
        <v>649</v>
      </c>
      <c r="D740" s="148" t="s">
        <v>69</v>
      </c>
      <c r="E740" s="148">
        <v>469642.25449591014</v>
      </c>
      <c r="F740" t="s">
        <v>249</v>
      </c>
      <c r="G740"/>
    </row>
    <row r="741" spans="1:7" ht="15.75">
      <c r="A741" t="str">
        <f t="shared" si="11"/>
        <v>Cugy (VD)SolaireCHAUFF</v>
      </c>
      <c r="B741" s="148">
        <v>5516</v>
      </c>
      <c r="C741" s="148" t="s">
        <v>649</v>
      </c>
      <c r="D741" s="148" t="s">
        <v>240</v>
      </c>
      <c r="E741" s="148">
        <v>39131.599999999999</v>
      </c>
      <c r="F741" t="s">
        <v>249</v>
      </c>
      <c r="G741"/>
    </row>
    <row r="742" spans="1:7" ht="15.75">
      <c r="A742" t="str">
        <f t="shared" si="11"/>
        <v>CurtillesBoisCHAUFF</v>
      </c>
      <c r="B742" s="148">
        <v>5669</v>
      </c>
      <c r="C742" s="148" t="s">
        <v>446</v>
      </c>
      <c r="D742" s="148" t="s">
        <v>66</v>
      </c>
      <c r="E742" s="148">
        <v>1494349.8666666599</v>
      </c>
      <c r="F742" t="s">
        <v>249</v>
      </c>
      <c r="G742"/>
    </row>
    <row r="743" spans="1:7" ht="15.75">
      <c r="A743" t="str">
        <f t="shared" si="11"/>
        <v>CurtillesElectricitéCHAUFF</v>
      </c>
      <c r="B743" s="148">
        <v>5669</v>
      </c>
      <c r="C743" s="148" t="s">
        <v>446</v>
      </c>
      <c r="D743" s="148" t="s">
        <v>97</v>
      </c>
      <c r="E743" s="148">
        <v>679815.91397848004</v>
      </c>
      <c r="F743" t="s">
        <v>249</v>
      </c>
      <c r="G743"/>
    </row>
    <row r="744" spans="1:7" ht="15.75">
      <c r="A744" t="str">
        <f t="shared" si="11"/>
        <v>CurtillesGazCHAUFF</v>
      </c>
      <c r="B744" s="148">
        <v>5669</v>
      </c>
      <c r="C744" s="148" t="s">
        <v>446</v>
      </c>
      <c r="D744" s="148" t="s">
        <v>239</v>
      </c>
      <c r="E744" s="148">
        <v>516901.01547987986</v>
      </c>
      <c r="F744" t="s">
        <v>249</v>
      </c>
      <c r="G744"/>
    </row>
    <row r="745" spans="1:7" ht="15.75">
      <c r="A745" t="str">
        <f t="shared" si="11"/>
        <v>CurtillesMazoutCHAUFF</v>
      </c>
      <c r="B745" s="148">
        <v>5669</v>
      </c>
      <c r="C745" s="148" t="s">
        <v>446</v>
      </c>
      <c r="D745" s="148" t="s">
        <v>70</v>
      </c>
      <c r="E745" s="148">
        <v>2694834.5882353112</v>
      </c>
      <c r="F745" t="s">
        <v>249</v>
      </c>
      <c r="G745"/>
    </row>
    <row r="746" spans="1:7" ht="15.75">
      <c r="A746" t="str">
        <f t="shared" si="11"/>
        <v>CurtillesNon renseignéCHAUFF</v>
      </c>
      <c r="B746" s="148">
        <v>5669</v>
      </c>
      <c r="C746" s="148" t="s">
        <v>446</v>
      </c>
      <c r="D746" s="148" t="s">
        <v>696</v>
      </c>
      <c r="E746" s="148">
        <v>0</v>
      </c>
      <c r="F746" t="s">
        <v>249</v>
      </c>
      <c r="G746"/>
    </row>
    <row r="747" spans="1:7" ht="15.75">
      <c r="A747" t="str">
        <f t="shared" si="11"/>
        <v>CurtillesPACCHAUFF</v>
      </c>
      <c r="B747" s="148">
        <v>5669</v>
      </c>
      <c r="C747" s="148" t="s">
        <v>446</v>
      </c>
      <c r="D747" s="148" t="s">
        <v>69</v>
      </c>
      <c r="E747" s="148">
        <v>56410.074074070006</v>
      </c>
      <c r="F747" t="s">
        <v>249</v>
      </c>
      <c r="G747"/>
    </row>
    <row r="748" spans="1:7" ht="15.75">
      <c r="A748" t="str">
        <f t="shared" si="11"/>
        <v>CurtillesSolaireCHAUFF</v>
      </c>
      <c r="B748" s="148">
        <v>5669</v>
      </c>
      <c r="C748" s="148" t="s">
        <v>446</v>
      </c>
      <c r="D748" s="148" t="s">
        <v>240</v>
      </c>
      <c r="E748" s="148" t="e">
        <v>#N/A</v>
      </c>
      <c r="F748" t="s">
        <v>249</v>
      </c>
      <c r="G748"/>
    </row>
    <row r="749" spans="1:7" ht="15.75">
      <c r="A749" t="str">
        <f t="shared" si="11"/>
        <v>DaillensAutre agent énergétiqueCHAUFF</v>
      </c>
      <c r="B749" s="148">
        <v>5480</v>
      </c>
      <c r="C749" s="148" t="s">
        <v>447</v>
      </c>
      <c r="D749" s="148" t="s">
        <v>245</v>
      </c>
      <c r="E749" s="148">
        <v>23378.823529419999</v>
      </c>
      <c r="F749" t="s">
        <v>249</v>
      </c>
      <c r="G749"/>
    </row>
    <row r="750" spans="1:7" ht="15.75">
      <c r="A750" t="str">
        <f t="shared" si="11"/>
        <v>DaillensBoisCHAUFF</v>
      </c>
      <c r="B750" s="148">
        <v>5480</v>
      </c>
      <c r="C750" s="148" t="s">
        <v>447</v>
      </c>
      <c r="D750" s="148" t="s">
        <v>66</v>
      </c>
      <c r="E750" s="148">
        <v>1401050.3843137198</v>
      </c>
      <c r="F750" t="s">
        <v>249</v>
      </c>
      <c r="G750"/>
    </row>
    <row r="751" spans="1:7" ht="15.75">
      <c r="A751" t="str">
        <f t="shared" si="11"/>
        <v>DaillensCADCHAUFF</v>
      </c>
      <c r="B751" s="148">
        <v>5480</v>
      </c>
      <c r="C751" s="148" t="s">
        <v>447</v>
      </c>
      <c r="D751" s="148" t="s">
        <v>242</v>
      </c>
      <c r="E751" s="148">
        <v>411804</v>
      </c>
      <c r="F751" t="s">
        <v>249</v>
      </c>
      <c r="G751"/>
    </row>
    <row r="752" spans="1:7" ht="15.75">
      <c r="A752" t="str">
        <f t="shared" si="11"/>
        <v>DaillensElectricitéCHAUFF</v>
      </c>
      <c r="B752" s="148">
        <v>5480</v>
      </c>
      <c r="C752" s="148" t="s">
        <v>447</v>
      </c>
      <c r="D752" s="148" t="s">
        <v>97</v>
      </c>
      <c r="E752" s="148">
        <v>1599898.7634408898</v>
      </c>
      <c r="F752" t="s">
        <v>249</v>
      </c>
      <c r="G752"/>
    </row>
    <row r="753" spans="1:7" ht="15.75">
      <c r="A753" t="str">
        <f t="shared" si="11"/>
        <v>DaillensGazCHAUFF</v>
      </c>
      <c r="B753" s="148">
        <v>5480</v>
      </c>
      <c r="C753" s="148" t="s">
        <v>447</v>
      </c>
      <c r="D753" s="148" t="s">
        <v>239</v>
      </c>
      <c r="E753" s="148">
        <v>931823.9256966298</v>
      </c>
      <c r="F753" t="s">
        <v>249</v>
      </c>
      <c r="G753"/>
    </row>
    <row r="754" spans="1:7" ht="15.75">
      <c r="A754" t="str">
        <f t="shared" si="11"/>
        <v>DaillensMazoutCHAUFF</v>
      </c>
      <c r="B754" s="148">
        <v>5480</v>
      </c>
      <c r="C754" s="148" t="s">
        <v>447</v>
      </c>
      <c r="D754" s="148" t="s">
        <v>70</v>
      </c>
      <c r="E754" s="148">
        <v>5258872.4705882501</v>
      </c>
      <c r="F754" t="s">
        <v>249</v>
      </c>
      <c r="G754"/>
    </row>
    <row r="755" spans="1:7" ht="15.75">
      <c r="A755" t="str">
        <f t="shared" si="11"/>
        <v>DaillensNon renseignéCHAUFF</v>
      </c>
      <c r="B755" s="148">
        <v>5480</v>
      </c>
      <c r="C755" s="148" t="s">
        <v>447</v>
      </c>
      <c r="D755" s="148" t="s">
        <v>696</v>
      </c>
      <c r="E755" s="148">
        <v>0</v>
      </c>
      <c r="F755" t="s">
        <v>249</v>
      </c>
      <c r="G755"/>
    </row>
    <row r="756" spans="1:7" ht="15.75">
      <c r="A756" t="str">
        <f t="shared" si="11"/>
        <v>DaillensPACCHAUFF</v>
      </c>
      <c r="B756" s="148">
        <v>5480</v>
      </c>
      <c r="C756" s="148" t="s">
        <v>447</v>
      </c>
      <c r="D756" s="148" t="s">
        <v>69</v>
      </c>
      <c r="E756" s="148">
        <v>545140.63201912993</v>
      </c>
      <c r="F756" t="s">
        <v>249</v>
      </c>
      <c r="G756"/>
    </row>
    <row r="757" spans="1:7" ht="15.75">
      <c r="A757" t="str">
        <f t="shared" si="11"/>
        <v>DaillensSolaireCHAUFF</v>
      </c>
      <c r="B757" s="148">
        <v>5480</v>
      </c>
      <c r="C757" s="148" t="s">
        <v>447</v>
      </c>
      <c r="D757" s="148" t="s">
        <v>240</v>
      </c>
      <c r="E757" s="148" t="e">
        <v>#N/A</v>
      </c>
      <c r="F757" t="s">
        <v>249</v>
      </c>
      <c r="G757"/>
    </row>
    <row r="758" spans="1:7" ht="15.75">
      <c r="A758" t="str">
        <f t="shared" si="11"/>
        <v>DémoretBoisCHAUFF</v>
      </c>
      <c r="B758" s="148">
        <v>5912</v>
      </c>
      <c r="C758" s="148" t="s">
        <v>648</v>
      </c>
      <c r="D758" s="148" t="s">
        <v>66</v>
      </c>
      <c r="E758" s="148">
        <v>417608</v>
      </c>
      <c r="F758" t="s">
        <v>249</v>
      </c>
      <c r="G758"/>
    </row>
    <row r="759" spans="1:7" ht="15.75">
      <c r="A759" t="str">
        <f t="shared" si="11"/>
        <v>DémoretCADCHAUFF</v>
      </c>
      <c r="B759" s="148">
        <v>5912</v>
      </c>
      <c r="C759" s="148" t="s">
        <v>648</v>
      </c>
      <c r="D759" s="148" t="s">
        <v>242</v>
      </c>
      <c r="E759" s="148">
        <v>12469</v>
      </c>
      <c r="F759" t="s">
        <v>249</v>
      </c>
      <c r="G759"/>
    </row>
    <row r="760" spans="1:7" ht="15.75">
      <c r="A760" t="str">
        <f t="shared" si="11"/>
        <v>DémoretElectricitéCHAUFF</v>
      </c>
      <c r="B760" s="148">
        <v>5912</v>
      </c>
      <c r="C760" s="148" t="s">
        <v>648</v>
      </c>
      <c r="D760" s="148" t="s">
        <v>97</v>
      </c>
      <c r="E760" s="148">
        <v>35667.95698925</v>
      </c>
      <c r="F760" t="s">
        <v>249</v>
      </c>
      <c r="G760"/>
    </row>
    <row r="761" spans="1:7" ht="15.75">
      <c r="A761" t="str">
        <f t="shared" si="11"/>
        <v>DémoretGazCHAUFF</v>
      </c>
      <c r="B761" s="148">
        <v>5912</v>
      </c>
      <c r="C761" s="148" t="s">
        <v>648</v>
      </c>
      <c r="D761" s="148" t="s">
        <v>239</v>
      </c>
      <c r="E761" s="148">
        <v>423842.88297214999</v>
      </c>
      <c r="F761" t="s">
        <v>249</v>
      </c>
      <c r="G761"/>
    </row>
    <row r="762" spans="1:7" ht="15.75">
      <c r="A762" t="str">
        <f t="shared" si="11"/>
        <v>DémoretMazoutCHAUFF</v>
      </c>
      <c r="B762" s="148">
        <v>5912</v>
      </c>
      <c r="C762" s="148" t="s">
        <v>648</v>
      </c>
      <c r="D762" s="148" t="s">
        <v>70</v>
      </c>
      <c r="E762" s="148">
        <v>1905624.0941176398</v>
      </c>
      <c r="F762" t="s">
        <v>249</v>
      </c>
      <c r="G762"/>
    </row>
    <row r="763" spans="1:7" ht="15.75">
      <c r="A763" t="str">
        <f t="shared" si="11"/>
        <v>DémoretNon renseignéCHAUFF</v>
      </c>
      <c r="B763" s="148">
        <v>5912</v>
      </c>
      <c r="C763" s="148" t="s">
        <v>648</v>
      </c>
      <c r="D763" s="148" t="s">
        <v>696</v>
      </c>
      <c r="E763" s="148">
        <v>0</v>
      </c>
      <c r="F763" t="s">
        <v>249</v>
      </c>
      <c r="G763"/>
    </row>
    <row r="764" spans="1:7" ht="15.75">
      <c r="A764" t="str">
        <f t="shared" si="11"/>
        <v>DémoretPACCHAUFF</v>
      </c>
      <c r="B764" s="148">
        <v>5912</v>
      </c>
      <c r="C764" s="148" t="s">
        <v>648</v>
      </c>
      <c r="D764" s="148" t="s">
        <v>69</v>
      </c>
      <c r="E764" s="148">
        <v>51277.425925920004</v>
      </c>
      <c r="F764" t="s">
        <v>249</v>
      </c>
      <c r="G764"/>
    </row>
    <row r="765" spans="1:7" ht="15.75">
      <c r="A765" t="str">
        <f t="shared" si="11"/>
        <v>DémoretSolaireCHAUFF</v>
      </c>
      <c r="B765" s="148">
        <v>5912</v>
      </c>
      <c r="C765" s="148" t="s">
        <v>648</v>
      </c>
      <c r="D765" s="148" t="s">
        <v>240</v>
      </c>
      <c r="E765" s="148" t="e">
        <v>#N/A</v>
      </c>
      <c r="F765" t="s">
        <v>249</v>
      </c>
      <c r="G765"/>
    </row>
    <row r="766" spans="1:7" ht="15.75">
      <c r="A766" t="str">
        <f t="shared" si="11"/>
        <v>DenensAutre agent énergétiqueCHAUFF</v>
      </c>
      <c r="B766" s="148">
        <v>5631</v>
      </c>
      <c r="C766" s="148" t="s">
        <v>448</v>
      </c>
      <c r="D766" s="148" t="s">
        <v>245</v>
      </c>
      <c r="E766" s="148">
        <v>23061.647058819999</v>
      </c>
      <c r="F766" t="s">
        <v>249</v>
      </c>
      <c r="G766"/>
    </row>
    <row r="767" spans="1:7" ht="15.75">
      <c r="A767" t="str">
        <f t="shared" si="11"/>
        <v>DenensBoisCHAUFF</v>
      </c>
      <c r="B767" s="148">
        <v>5631</v>
      </c>
      <c r="C767" s="148" t="s">
        <v>448</v>
      </c>
      <c r="D767" s="148" t="s">
        <v>66</v>
      </c>
      <c r="E767" s="148">
        <v>169718.58823528999</v>
      </c>
      <c r="F767" t="s">
        <v>249</v>
      </c>
      <c r="G767"/>
    </row>
    <row r="768" spans="1:7" ht="15.75">
      <c r="A768" t="str">
        <f t="shared" si="11"/>
        <v>DenensElectricitéCHAUFF</v>
      </c>
      <c r="B768" s="148">
        <v>5631</v>
      </c>
      <c r="C768" s="148" t="s">
        <v>448</v>
      </c>
      <c r="D768" s="148" t="s">
        <v>97</v>
      </c>
      <c r="E768" s="148">
        <v>1085967.7419355097</v>
      </c>
      <c r="F768" t="s">
        <v>249</v>
      </c>
      <c r="G768"/>
    </row>
    <row r="769" spans="1:7" ht="15.75">
      <c r="A769" t="str">
        <f t="shared" si="11"/>
        <v>DenensGazCHAUFF</v>
      </c>
      <c r="B769" s="148">
        <v>5631</v>
      </c>
      <c r="C769" s="148" t="s">
        <v>448</v>
      </c>
      <c r="D769" s="148" t="s">
        <v>239</v>
      </c>
      <c r="E769" s="148">
        <v>3702677.43343654</v>
      </c>
      <c r="F769" t="s">
        <v>249</v>
      </c>
      <c r="G769"/>
    </row>
    <row r="770" spans="1:7" ht="15.75">
      <c r="A770" t="str">
        <f t="shared" si="11"/>
        <v>DenensMazoutCHAUFF</v>
      </c>
      <c r="B770" s="148">
        <v>5631</v>
      </c>
      <c r="C770" s="148" t="s">
        <v>448</v>
      </c>
      <c r="D770" s="148" t="s">
        <v>70</v>
      </c>
      <c r="E770" s="148">
        <v>4061309.54117645</v>
      </c>
      <c r="F770" t="s">
        <v>249</v>
      </c>
      <c r="G770"/>
    </row>
    <row r="771" spans="1:7" ht="15.75">
      <c r="A771" t="str">
        <f t="shared" ref="A771:A834" si="12">_xlfn.CONCAT(C771,D771,F771)</f>
        <v>DenensNon renseignéCHAUFF</v>
      </c>
      <c r="B771" s="148">
        <v>5631</v>
      </c>
      <c r="C771" s="148" t="s">
        <v>448</v>
      </c>
      <c r="D771" s="148" t="s">
        <v>696</v>
      </c>
      <c r="E771" s="148">
        <v>0</v>
      </c>
      <c r="F771" t="s">
        <v>249</v>
      </c>
      <c r="G771"/>
    </row>
    <row r="772" spans="1:7" ht="15.75">
      <c r="A772" t="str">
        <f t="shared" si="12"/>
        <v>DenensPACCHAUFF</v>
      </c>
      <c r="B772" s="148">
        <v>5631</v>
      </c>
      <c r="C772" s="148" t="s">
        <v>448</v>
      </c>
      <c r="D772" s="148" t="s">
        <v>69</v>
      </c>
      <c r="E772" s="148">
        <v>108332.15770608</v>
      </c>
      <c r="F772" t="s">
        <v>249</v>
      </c>
      <c r="G772"/>
    </row>
    <row r="773" spans="1:7" ht="15.75">
      <c r="A773" t="str">
        <f t="shared" si="12"/>
        <v>DenensSolaireCHAUFF</v>
      </c>
      <c r="B773" s="148">
        <v>5631</v>
      </c>
      <c r="C773" s="148" t="s">
        <v>448</v>
      </c>
      <c r="D773" s="148" t="s">
        <v>240</v>
      </c>
      <c r="E773" s="148" t="e">
        <v>#N/A</v>
      </c>
      <c r="F773" t="s">
        <v>249</v>
      </c>
      <c r="G773"/>
    </row>
    <row r="774" spans="1:7" ht="15.75">
      <c r="A774" t="str">
        <f t="shared" si="12"/>
        <v>DengesBoisCHAUFF</v>
      </c>
      <c r="B774" s="148">
        <v>5632</v>
      </c>
      <c r="C774" s="148" t="s">
        <v>449</v>
      </c>
      <c r="D774" s="148" t="s">
        <v>66</v>
      </c>
      <c r="E774" s="148">
        <v>372273.06666667003</v>
      </c>
      <c r="F774" t="s">
        <v>249</v>
      </c>
      <c r="G774"/>
    </row>
    <row r="775" spans="1:7" ht="15.75">
      <c r="A775" t="str">
        <f t="shared" si="12"/>
        <v>DengesElectricitéCHAUFF</v>
      </c>
      <c r="B775" s="148">
        <v>5632</v>
      </c>
      <c r="C775" s="148" t="s">
        <v>449</v>
      </c>
      <c r="D775" s="148" t="s">
        <v>97</v>
      </c>
      <c r="E775" s="148">
        <v>1072440.8602150702</v>
      </c>
      <c r="F775" t="s">
        <v>249</v>
      </c>
      <c r="G775"/>
    </row>
    <row r="776" spans="1:7" ht="15.75">
      <c r="A776" t="str">
        <f t="shared" si="12"/>
        <v>DengesGazCHAUFF</v>
      </c>
      <c r="B776" s="148">
        <v>5632</v>
      </c>
      <c r="C776" s="148" t="s">
        <v>449</v>
      </c>
      <c r="D776" s="148" t="s">
        <v>239</v>
      </c>
      <c r="E776" s="148">
        <v>5158655.4761610609</v>
      </c>
      <c r="F776" t="s">
        <v>249</v>
      </c>
      <c r="G776"/>
    </row>
    <row r="777" spans="1:7" ht="15.75">
      <c r="A777" t="str">
        <f t="shared" si="12"/>
        <v>DengesMazoutCHAUFF</v>
      </c>
      <c r="B777" s="148">
        <v>5632</v>
      </c>
      <c r="C777" s="148" t="s">
        <v>449</v>
      </c>
      <c r="D777" s="148" t="s">
        <v>70</v>
      </c>
      <c r="E777" s="148">
        <v>5724334.6700766999</v>
      </c>
      <c r="F777" t="s">
        <v>249</v>
      </c>
      <c r="G777"/>
    </row>
    <row r="778" spans="1:7" ht="15.75">
      <c r="A778" t="str">
        <f t="shared" si="12"/>
        <v>DengesNon renseignéCHAUFF</v>
      </c>
      <c r="B778" s="148">
        <v>5632</v>
      </c>
      <c r="C778" s="148" t="s">
        <v>449</v>
      </c>
      <c r="D778" s="148" t="s">
        <v>696</v>
      </c>
      <c r="E778" s="148">
        <v>0</v>
      </c>
      <c r="F778" t="s">
        <v>249</v>
      </c>
      <c r="G778"/>
    </row>
    <row r="779" spans="1:7" ht="15.75">
      <c r="A779" t="str">
        <f t="shared" si="12"/>
        <v>DengesPACCHAUFF</v>
      </c>
      <c r="B779" s="148">
        <v>5632</v>
      </c>
      <c r="C779" s="148" t="s">
        <v>449</v>
      </c>
      <c r="D779" s="148" t="s">
        <v>69</v>
      </c>
      <c r="E779" s="148">
        <v>82720.076463560006</v>
      </c>
      <c r="F779" t="s">
        <v>249</v>
      </c>
      <c r="G779"/>
    </row>
    <row r="780" spans="1:7" ht="15.75">
      <c r="A780" t="str">
        <f t="shared" si="12"/>
        <v>DengesSolaireCHAUFF</v>
      </c>
      <c r="B780" s="148">
        <v>5632</v>
      </c>
      <c r="C780" s="148" t="s">
        <v>449</v>
      </c>
      <c r="D780" s="148" t="s">
        <v>240</v>
      </c>
      <c r="E780" s="148" t="e">
        <v>#N/A</v>
      </c>
      <c r="F780" t="s">
        <v>249</v>
      </c>
      <c r="G780"/>
    </row>
    <row r="781" spans="1:7" ht="15.75">
      <c r="A781" t="str">
        <f t="shared" si="12"/>
        <v>DizyBoisCHAUFF</v>
      </c>
      <c r="B781" s="148">
        <v>5481</v>
      </c>
      <c r="C781" s="148" t="s">
        <v>450</v>
      </c>
      <c r="D781" s="148" t="s">
        <v>66</v>
      </c>
      <c r="E781" s="148">
        <v>731303.67999999993</v>
      </c>
      <c r="F781" t="s">
        <v>249</v>
      </c>
      <c r="G781"/>
    </row>
    <row r="782" spans="1:7" ht="15.75">
      <c r="A782" t="str">
        <f t="shared" si="12"/>
        <v>DizyElectricitéCHAUFF</v>
      </c>
      <c r="B782" s="148">
        <v>5481</v>
      </c>
      <c r="C782" s="148" t="s">
        <v>450</v>
      </c>
      <c r="D782" s="148" t="s">
        <v>97</v>
      </c>
      <c r="E782" s="148">
        <v>113600</v>
      </c>
      <c r="F782" t="s">
        <v>249</v>
      </c>
      <c r="G782"/>
    </row>
    <row r="783" spans="1:7" ht="15.75">
      <c r="A783" t="str">
        <f t="shared" si="12"/>
        <v>DizyGazCHAUFF</v>
      </c>
      <c r="B783" s="148">
        <v>5481</v>
      </c>
      <c r="C783" s="148" t="s">
        <v>450</v>
      </c>
      <c r="D783" s="148" t="s">
        <v>239</v>
      </c>
      <c r="E783" s="148">
        <v>2034503.7151702398</v>
      </c>
      <c r="F783" t="s">
        <v>249</v>
      </c>
      <c r="G783"/>
    </row>
    <row r="784" spans="1:7" ht="15.75">
      <c r="A784" t="str">
        <f t="shared" si="12"/>
        <v>DizyMazoutCHAUFF</v>
      </c>
      <c r="B784" s="148">
        <v>5481</v>
      </c>
      <c r="C784" s="148" t="s">
        <v>450</v>
      </c>
      <c r="D784" s="148" t="s">
        <v>70</v>
      </c>
      <c r="E784" s="148">
        <v>516616.94117646996</v>
      </c>
      <c r="F784" t="s">
        <v>249</v>
      </c>
      <c r="G784"/>
    </row>
    <row r="785" spans="1:7" ht="15.75">
      <c r="A785" t="str">
        <f t="shared" si="12"/>
        <v>DizyNon renseignéCHAUFF</v>
      </c>
      <c r="B785" s="148">
        <v>5481</v>
      </c>
      <c r="C785" s="148" t="s">
        <v>450</v>
      </c>
      <c r="D785" s="148" t="s">
        <v>696</v>
      </c>
      <c r="E785" s="148">
        <v>0</v>
      </c>
      <c r="F785" t="s">
        <v>249</v>
      </c>
      <c r="G785"/>
    </row>
    <row r="786" spans="1:7" ht="15.75">
      <c r="A786" t="str">
        <f t="shared" si="12"/>
        <v>DizyPACCHAUFF</v>
      </c>
      <c r="B786" s="148">
        <v>5481</v>
      </c>
      <c r="C786" s="148" t="s">
        <v>450</v>
      </c>
      <c r="D786" s="148" t="s">
        <v>69</v>
      </c>
      <c r="E786" s="148">
        <v>72478.395185179994</v>
      </c>
      <c r="F786" t="s">
        <v>249</v>
      </c>
      <c r="G786"/>
    </row>
    <row r="787" spans="1:7" ht="15.75">
      <c r="A787" t="str">
        <f t="shared" si="12"/>
        <v>DizySolaireCHAUFF</v>
      </c>
      <c r="B787" s="148">
        <v>5481</v>
      </c>
      <c r="C787" s="148" t="s">
        <v>450</v>
      </c>
      <c r="D787" s="148" t="s">
        <v>240</v>
      </c>
      <c r="E787" s="148" t="e">
        <v>#N/A</v>
      </c>
      <c r="F787" t="s">
        <v>249</v>
      </c>
      <c r="G787"/>
    </row>
    <row r="788" spans="1:7" ht="15.75">
      <c r="A788" t="str">
        <f t="shared" si="12"/>
        <v>Dompierre (VD)BoisCHAUFF</v>
      </c>
      <c r="B788" s="148">
        <v>5671</v>
      </c>
      <c r="C788" s="148" t="s">
        <v>647</v>
      </c>
      <c r="D788" s="148" t="s">
        <v>66</v>
      </c>
      <c r="E788" s="148">
        <v>2040763.49803922</v>
      </c>
      <c r="F788" t="s">
        <v>249</v>
      </c>
      <c r="G788"/>
    </row>
    <row r="789" spans="1:7" ht="15.75">
      <c r="A789" t="str">
        <f t="shared" si="12"/>
        <v>Dompierre (VD)ElectricitéCHAUFF</v>
      </c>
      <c r="B789" s="148">
        <v>5671</v>
      </c>
      <c r="C789" s="148" t="s">
        <v>647</v>
      </c>
      <c r="D789" s="148" t="s">
        <v>97</v>
      </c>
      <c r="E789" s="148">
        <v>375642.15053763997</v>
      </c>
      <c r="F789" t="s">
        <v>249</v>
      </c>
      <c r="G789"/>
    </row>
    <row r="790" spans="1:7" ht="15.75">
      <c r="A790" t="str">
        <f t="shared" si="12"/>
        <v>Dompierre (VD)GazCHAUFF</v>
      </c>
      <c r="B790" s="148">
        <v>5671</v>
      </c>
      <c r="C790" s="148" t="s">
        <v>647</v>
      </c>
      <c r="D790" s="148" t="s">
        <v>239</v>
      </c>
      <c r="E790" s="148">
        <v>676230.37770896987</v>
      </c>
      <c r="F790" t="s">
        <v>249</v>
      </c>
      <c r="G790"/>
    </row>
    <row r="791" spans="1:7" ht="15.75">
      <c r="A791" t="str">
        <f t="shared" si="12"/>
        <v>Dompierre (VD)MazoutCHAUFF</v>
      </c>
      <c r="B791" s="148">
        <v>5671</v>
      </c>
      <c r="C791" s="148" t="s">
        <v>647</v>
      </c>
      <c r="D791" s="148" t="s">
        <v>70</v>
      </c>
      <c r="E791" s="148">
        <v>2548358.1176470798</v>
      </c>
      <c r="F791" t="s">
        <v>249</v>
      </c>
      <c r="G791"/>
    </row>
    <row r="792" spans="1:7" ht="15.75">
      <c r="A792" t="str">
        <f t="shared" si="12"/>
        <v>Dompierre (VD)Non renseignéCHAUFF</v>
      </c>
      <c r="B792" s="148">
        <v>5671</v>
      </c>
      <c r="C792" s="148" t="s">
        <v>647</v>
      </c>
      <c r="D792" s="148" t="s">
        <v>696</v>
      </c>
      <c r="E792" s="148">
        <v>0</v>
      </c>
      <c r="F792" t="s">
        <v>249</v>
      </c>
      <c r="G792"/>
    </row>
    <row r="793" spans="1:7" ht="15.75">
      <c r="A793" t="str">
        <f t="shared" si="12"/>
        <v>Dompierre (VD)PACCHAUFF</v>
      </c>
      <c r="B793" s="148">
        <v>5671</v>
      </c>
      <c r="C793" s="148" t="s">
        <v>647</v>
      </c>
      <c r="D793" s="148" t="s">
        <v>69</v>
      </c>
      <c r="E793" s="148">
        <v>91053.703703699997</v>
      </c>
      <c r="F793" t="s">
        <v>249</v>
      </c>
      <c r="G793"/>
    </row>
    <row r="794" spans="1:7" ht="15.75">
      <c r="A794" t="str">
        <f t="shared" si="12"/>
        <v>Dompierre (VD)SolaireCHAUFF</v>
      </c>
      <c r="B794" s="148">
        <v>5671</v>
      </c>
      <c r="C794" s="148" t="s">
        <v>647</v>
      </c>
      <c r="D794" s="148" t="s">
        <v>240</v>
      </c>
      <c r="E794" s="148" t="e">
        <v>#N/A</v>
      </c>
      <c r="F794" t="s">
        <v>249</v>
      </c>
      <c r="G794"/>
    </row>
    <row r="795" spans="1:7" ht="15.75">
      <c r="A795" t="str">
        <f t="shared" si="12"/>
        <v>DonneloyeBoisCHAUFF</v>
      </c>
      <c r="B795" s="148">
        <v>5913</v>
      </c>
      <c r="C795" s="148" t="s">
        <v>451</v>
      </c>
      <c r="D795" s="148" t="s">
        <v>66</v>
      </c>
      <c r="E795" s="148">
        <v>2896313.9294117601</v>
      </c>
      <c r="F795" t="s">
        <v>249</v>
      </c>
      <c r="G795"/>
    </row>
    <row r="796" spans="1:7" ht="15.75">
      <c r="A796" t="str">
        <f t="shared" si="12"/>
        <v>DonneloyeCADCHAUFF</v>
      </c>
      <c r="B796" s="148">
        <v>5913</v>
      </c>
      <c r="C796" s="148" t="s">
        <v>451</v>
      </c>
      <c r="D796" s="148" t="s">
        <v>242</v>
      </c>
      <c r="E796" s="148">
        <v>45040</v>
      </c>
      <c r="F796" t="s">
        <v>249</v>
      </c>
      <c r="G796"/>
    </row>
    <row r="797" spans="1:7" ht="15.75">
      <c r="A797" t="str">
        <f t="shared" si="12"/>
        <v>DonneloyeElectricitéCHAUFF</v>
      </c>
      <c r="B797" s="148">
        <v>5913</v>
      </c>
      <c r="C797" s="148" t="s">
        <v>451</v>
      </c>
      <c r="D797" s="148" t="s">
        <v>97</v>
      </c>
      <c r="E797" s="148">
        <v>1369696.2903225601</v>
      </c>
      <c r="F797" t="s">
        <v>249</v>
      </c>
      <c r="G797"/>
    </row>
    <row r="798" spans="1:7" ht="15.75">
      <c r="A798" t="str">
        <f t="shared" si="12"/>
        <v>DonneloyeGazCHAUFF</v>
      </c>
      <c r="B798" s="148">
        <v>5913</v>
      </c>
      <c r="C798" s="148" t="s">
        <v>451</v>
      </c>
      <c r="D798" s="148" t="s">
        <v>239</v>
      </c>
      <c r="E798" s="148">
        <v>736675.7102167398</v>
      </c>
      <c r="F798" t="s">
        <v>249</v>
      </c>
      <c r="G798"/>
    </row>
    <row r="799" spans="1:7" ht="15.75">
      <c r="A799" t="str">
        <f t="shared" si="12"/>
        <v>DonneloyeMazoutCHAUFF</v>
      </c>
      <c r="B799" s="148">
        <v>5913</v>
      </c>
      <c r="C799" s="148" t="s">
        <v>451</v>
      </c>
      <c r="D799" s="148" t="s">
        <v>70</v>
      </c>
      <c r="E799" s="148">
        <v>5019279.000000013</v>
      </c>
      <c r="F799" t="s">
        <v>249</v>
      </c>
      <c r="G799"/>
    </row>
    <row r="800" spans="1:7" ht="15.75">
      <c r="A800" t="str">
        <f t="shared" si="12"/>
        <v>DonneloyeNon renseignéCHAUFF</v>
      </c>
      <c r="B800" s="148">
        <v>5913</v>
      </c>
      <c r="C800" s="148" t="s">
        <v>451</v>
      </c>
      <c r="D800" s="148" t="s">
        <v>696</v>
      </c>
      <c r="E800" s="148">
        <v>0</v>
      </c>
      <c r="F800" t="s">
        <v>249</v>
      </c>
      <c r="G800"/>
    </row>
    <row r="801" spans="1:7" ht="15.75">
      <c r="A801" t="str">
        <f t="shared" si="12"/>
        <v>DonneloyePACCHAUFF</v>
      </c>
      <c r="B801" s="148">
        <v>5913</v>
      </c>
      <c r="C801" s="148" t="s">
        <v>451</v>
      </c>
      <c r="D801" s="148" t="s">
        <v>69</v>
      </c>
      <c r="E801" s="148">
        <v>281184.59581319004</v>
      </c>
      <c r="F801" t="s">
        <v>249</v>
      </c>
      <c r="G801"/>
    </row>
    <row r="802" spans="1:7" ht="15.75">
      <c r="A802" t="str">
        <f t="shared" si="12"/>
        <v>DonneloyeSolaireCHAUFF</v>
      </c>
      <c r="B802" s="148">
        <v>5913</v>
      </c>
      <c r="C802" s="148" t="s">
        <v>451</v>
      </c>
      <c r="D802" s="148" t="s">
        <v>240</v>
      </c>
      <c r="E802" s="148" t="e">
        <v>#N/A</v>
      </c>
      <c r="F802" t="s">
        <v>249</v>
      </c>
      <c r="G802"/>
    </row>
    <row r="803" spans="1:7" ht="15.75">
      <c r="A803" t="str">
        <f t="shared" si="12"/>
        <v>DuillierAutre agent énergétiqueCHAUFF</v>
      </c>
      <c r="B803" s="148">
        <v>5715</v>
      </c>
      <c r="C803" s="148" t="s">
        <v>452</v>
      </c>
      <c r="D803" s="148" t="s">
        <v>245</v>
      </c>
      <c r="E803" s="148">
        <v>5665.8823529399997</v>
      </c>
      <c r="F803" t="s">
        <v>249</v>
      </c>
      <c r="G803"/>
    </row>
    <row r="804" spans="1:7" ht="15.75">
      <c r="A804" t="str">
        <f t="shared" si="12"/>
        <v>DuillierBoisCHAUFF</v>
      </c>
      <c r="B804" s="148">
        <v>5715</v>
      </c>
      <c r="C804" s="148" t="s">
        <v>452</v>
      </c>
      <c r="D804" s="148" t="s">
        <v>66</v>
      </c>
      <c r="E804" s="148">
        <v>442583.46666667005</v>
      </c>
      <c r="F804" t="s">
        <v>249</v>
      </c>
      <c r="G804"/>
    </row>
    <row r="805" spans="1:7" ht="15.75">
      <c r="A805" t="str">
        <f t="shared" si="12"/>
        <v>DuillierCADCHAUFF</v>
      </c>
      <c r="B805" s="148">
        <v>5715</v>
      </c>
      <c r="C805" s="148" t="s">
        <v>452</v>
      </c>
      <c r="D805" s="148" t="s">
        <v>242</v>
      </c>
      <c r="E805" s="148">
        <v>50336</v>
      </c>
      <c r="F805" t="s">
        <v>249</v>
      </c>
      <c r="G805"/>
    </row>
    <row r="806" spans="1:7" ht="15.75">
      <c r="A806" t="str">
        <f t="shared" si="12"/>
        <v>DuillierElectricitéCHAUFF</v>
      </c>
      <c r="B806" s="148">
        <v>5715</v>
      </c>
      <c r="C806" s="148" t="s">
        <v>452</v>
      </c>
      <c r="D806" s="148" t="s">
        <v>97</v>
      </c>
      <c r="E806" s="148">
        <v>1816044.9462365396</v>
      </c>
      <c r="F806" t="s">
        <v>249</v>
      </c>
      <c r="G806"/>
    </row>
    <row r="807" spans="1:7" ht="15.75">
      <c r="A807" t="str">
        <f t="shared" si="12"/>
        <v>DuillierGazCHAUFF</v>
      </c>
      <c r="B807" s="148">
        <v>5715</v>
      </c>
      <c r="C807" s="148" t="s">
        <v>452</v>
      </c>
      <c r="D807" s="148" t="s">
        <v>239</v>
      </c>
      <c r="E807" s="148">
        <v>5266206.5077399518</v>
      </c>
      <c r="F807" t="s">
        <v>249</v>
      </c>
      <c r="G807"/>
    </row>
    <row r="808" spans="1:7" ht="15.75">
      <c r="A808" t="str">
        <f t="shared" si="12"/>
        <v>DuillierMazoutCHAUFF</v>
      </c>
      <c r="B808" s="148">
        <v>5715</v>
      </c>
      <c r="C808" s="148" t="s">
        <v>452</v>
      </c>
      <c r="D808" s="148" t="s">
        <v>70</v>
      </c>
      <c r="E808" s="148">
        <v>4130803.3529411606</v>
      </c>
      <c r="F808" t="s">
        <v>249</v>
      </c>
      <c r="G808"/>
    </row>
    <row r="809" spans="1:7" ht="15.75">
      <c r="A809" t="str">
        <f t="shared" si="12"/>
        <v>DuillierNon renseignéCHAUFF</v>
      </c>
      <c r="B809" s="148">
        <v>5715</v>
      </c>
      <c r="C809" s="148" t="s">
        <v>452</v>
      </c>
      <c r="D809" s="148" t="s">
        <v>696</v>
      </c>
      <c r="E809" s="148">
        <v>0</v>
      </c>
      <c r="F809" t="s">
        <v>249</v>
      </c>
      <c r="G809"/>
    </row>
    <row r="810" spans="1:7" ht="15.75">
      <c r="A810" t="str">
        <f t="shared" si="12"/>
        <v>DuillierPACCHAUFF</v>
      </c>
      <c r="B810" s="148">
        <v>5715</v>
      </c>
      <c r="C810" s="148" t="s">
        <v>452</v>
      </c>
      <c r="D810" s="148" t="s">
        <v>69</v>
      </c>
      <c r="E810" s="148">
        <v>253005.69793668998</v>
      </c>
      <c r="F810" t="s">
        <v>249</v>
      </c>
      <c r="G810"/>
    </row>
    <row r="811" spans="1:7" ht="15.75">
      <c r="A811" t="str">
        <f t="shared" si="12"/>
        <v>DuillierSolaireCHAUFF</v>
      </c>
      <c r="B811" s="148">
        <v>5715</v>
      </c>
      <c r="C811" s="148" t="s">
        <v>452</v>
      </c>
      <c r="D811" s="148" t="s">
        <v>240</v>
      </c>
      <c r="E811" s="148" t="e">
        <v>#N/A</v>
      </c>
      <c r="F811" t="s">
        <v>249</v>
      </c>
      <c r="G811"/>
    </row>
    <row r="812" spans="1:7" ht="15.75">
      <c r="A812" t="str">
        <f t="shared" si="12"/>
        <v>DullyBoisCHAUFF</v>
      </c>
      <c r="B812" s="148">
        <v>5855</v>
      </c>
      <c r="C812" s="148" t="s">
        <v>453</v>
      </c>
      <c r="D812" s="148" t="s">
        <v>66</v>
      </c>
      <c r="E812" s="148">
        <v>685141.97333334002</v>
      </c>
      <c r="F812" t="s">
        <v>249</v>
      </c>
      <c r="G812"/>
    </row>
    <row r="813" spans="1:7" ht="15.75">
      <c r="A813" t="str">
        <f t="shared" si="12"/>
        <v>DullyElectricitéCHAUFF</v>
      </c>
      <c r="B813" s="148">
        <v>5855</v>
      </c>
      <c r="C813" s="148" t="s">
        <v>453</v>
      </c>
      <c r="D813" s="148" t="s">
        <v>97</v>
      </c>
      <c r="E813" s="148">
        <v>1203003.2258064498</v>
      </c>
      <c r="F813" t="s">
        <v>249</v>
      </c>
      <c r="G813"/>
    </row>
    <row r="814" spans="1:7" ht="15.75">
      <c r="A814" t="str">
        <f t="shared" si="12"/>
        <v>DullyGazCHAUFF</v>
      </c>
      <c r="B814" s="148">
        <v>5855</v>
      </c>
      <c r="C814" s="148" t="s">
        <v>453</v>
      </c>
      <c r="D814" s="148" t="s">
        <v>239</v>
      </c>
      <c r="E814" s="148">
        <v>118971.76470587999</v>
      </c>
      <c r="F814" t="s">
        <v>249</v>
      </c>
      <c r="G814"/>
    </row>
    <row r="815" spans="1:7" ht="15.75">
      <c r="A815" t="str">
        <f t="shared" si="12"/>
        <v>DullyMazoutCHAUFF</v>
      </c>
      <c r="B815" s="148">
        <v>5855</v>
      </c>
      <c r="C815" s="148" t="s">
        <v>453</v>
      </c>
      <c r="D815" s="148" t="s">
        <v>70</v>
      </c>
      <c r="E815" s="148">
        <v>4324444.19198451</v>
      </c>
      <c r="F815" t="s">
        <v>249</v>
      </c>
      <c r="G815"/>
    </row>
    <row r="816" spans="1:7" ht="15.75">
      <c r="A816" t="str">
        <f t="shared" si="12"/>
        <v>DullyNon renseignéCHAUFF</v>
      </c>
      <c r="B816" s="148">
        <v>5855</v>
      </c>
      <c r="C816" s="148" t="s">
        <v>453</v>
      </c>
      <c r="D816" s="148" t="s">
        <v>696</v>
      </c>
      <c r="E816" s="148">
        <v>0</v>
      </c>
      <c r="F816" t="s">
        <v>249</v>
      </c>
      <c r="G816"/>
    </row>
    <row r="817" spans="1:7" ht="15.75">
      <c r="A817" t="str">
        <f t="shared" si="12"/>
        <v>DullyPACCHAUFF</v>
      </c>
      <c r="B817" s="148">
        <v>5855</v>
      </c>
      <c r="C817" s="148" t="s">
        <v>453</v>
      </c>
      <c r="D817" s="148" t="s">
        <v>69</v>
      </c>
      <c r="E817" s="148">
        <v>643071.43274633004</v>
      </c>
      <c r="F817" t="s">
        <v>249</v>
      </c>
      <c r="G817"/>
    </row>
    <row r="818" spans="1:7" ht="15.75">
      <c r="A818" t="str">
        <f t="shared" si="12"/>
        <v>DullySolaireCHAUFF</v>
      </c>
      <c r="B818" s="148">
        <v>5855</v>
      </c>
      <c r="C818" s="148" t="s">
        <v>453</v>
      </c>
      <c r="D818" s="148" t="s">
        <v>240</v>
      </c>
      <c r="E818" s="148" t="e">
        <v>#N/A</v>
      </c>
      <c r="F818" t="s">
        <v>249</v>
      </c>
      <c r="G818"/>
    </row>
    <row r="819" spans="1:7" ht="15.75">
      <c r="A819" t="str">
        <f t="shared" si="12"/>
        <v>EchallensAutre agent énergétiqueCHAUFF</v>
      </c>
      <c r="B819" s="148">
        <v>5518</v>
      </c>
      <c r="C819" s="148" t="s">
        <v>454</v>
      </c>
      <c r="D819" s="148" t="s">
        <v>245</v>
      </c>
      <c r="E819" s="148">
        <v>966604.78823528998</v>
      </c>
      <c r="F819" t="s">
        <v>249</v>
      </c>
      <c r="G819"/>
    </row>
    <row r="820" spans="1:7" ht="15.75">
      <c r="A820" t="str">
        <f t="shared" si="12"/>
        <v>EchallensBoisCHAUFF</v>
      </c>
      <c r="B820" s="148">
        <v>5518</v>
      </c>
      <c r="C820" s="148" t="s">
        <v>454</v>
      </c>
      <c r="D820" s="148" t="s">
        <v>66</v>
      </c>
      <c r="E820" s="148">
        <v>2805746.7984313704</v>
      </c>
      <c r="F820" t="s">
        <v>249</v>
      </c>
      <c r="G820"/>
    </row>
    <row r="821" spans="1:7" ht="15.75">
      <c r="A821" t="str">
        <f t="shared" si="12"/>
        <v>EchallensCADCHAUFF</v>
      </c>
      <c r="B821" s="148">
        <v>5518</v>
      </c>
      <c r="C821" s="148" t="s">
        <v>454</v>
      </c>
      <c r="D821" s="148" t="s">
        <v>242</v>
      </c>
      <c r="E821" s="148">
        <v>123566.40000000001</v>
      </c>
      <c r="F821" t="s">
        <v>249</v>
      </c>
      <c r="G821"/>
    </row>
    <row r="822" spans="1:7" ht="15.75">
      <c r="A822" t="str">
        <f t="shared" si="12"/>
        <v>EchallensCharbonCHAUFF</v>
      </c>
      <c r="B822" s="148">
        <v>5518</v>
      </c>
      <c r="C822" s="148" t="s">
        <v>454</v>
      </c>
      <c r="D822" s="148" t="s">
        <v>695</v>
      </c>
      <c r="E822" s="148" t="e">
        <v>#N/A</v>
      </c>
      <c r="F822" t="s">
        <v>249</v>
      </c>
      <c r="G822"/>
    </row>
    <row r="823" spans="1:7" ht="15.75">
      <c r="A823" t="str">
        <f t="shared" si="12"/>
        <v>EchallensElectricitéCHAUFF</v>
      </c>
      <c r="B823" s="148">
        <v>5518</v>
      </c>
      <c r="C823" s="148" t="s">
        <v>454</v>
      </c>
      <c r="D823" s="148" t="s">
        <v>97</v>
      </c>
      <c r="E823" s="148">
        <v>5740409.1935483692</v>
      </c>
      <c r="F823" t="s">
        <v>249</v>
      </c>
      <c r="G823"/>
    </row>
    <row r="824" spans="1:7" ht="15.75">
      <c r="A824" t="str">
        <f t="shared" si="12"/>
        <v>EchallensGazCHAUFF</v>
      </c>
      <c r="B824" s="148">
        <v>5518</v>
      </c>
      <c r="C824" s="148" t="s">
        <v>454</v>
      </c>
      <c r="D824" s="148" t="s">
        <v>239</v>
      </c>
      <c r="E824" s="148">
        <v>18574074.17710996</v>
      </c>
      <c r="F824" t="s">
        <v>249</v>
      </c>
      <c r="G824"/>
    </row>
    <row r="825" spans="1:7" ht="15.75">
      <c r="A825" t="str">
        <f t="shared" si="12"/>
        <v>EchallensMazoutCHAUFF</v>
      </c>
      <c r="B825" s="148">
        <v>5518</v>
      </c>
      <c r="C825" s="148" t="s">
        <v>454</v>
      </c>
      <c r="D825" s="148" t="s">
        <v>70</v>
      </c>
      <c r="E825" s="148">
        <v>19763405.39411772</v>
      </c>
      <c r="F825" t="s">
        <v>249</v>
      </c>
      <c r="G825"/>
    </row>
    <row r="826" spans="1:7" ht="15.75">
      <c r="A826" t="str">
        <f t="shared" si="12"/>
        <v>EchallensNon renseignéCHAUFF</v>
      </c>
      <c r="B826" s="148">
        <v>5518</v>
      </c>
      <c r="C826" s="148" t="s">
        <v>454</v>
      </c>
      <c r="D826" s="148" t="s">
        <v>696</v>
      </c>
      <c r="E826" s="148">
        <v>0</v>
      </c>
      <c r="F826" t="s">
        <v>249</v>
      </c>
      <c r="G826"/>
    </row>
    <row r="827" spans="1:7" ht="15.75">
      <c r="A827" t="str">
        <f t="shared" si="12"/>
        <v>EchallensPACCHAUFF</v>
      </c>
      <c r="B827" s="148">
        <v>5518</v>
      </c>
      <c r="C827" s="148" t="s">
        <v>454</v>
      </c>
      <c r="D827" s="148" t="s">
        <v>69</v>
      </c>
      <c r="E827" s="148">
        <v>773899.62355199934</v>
      </c>
      <c r="F827" t="s">
        <v>249</v>
      </c>
      <c r="G827"/>
    </row>
    <row r="828" spans="1:7" ht="15.75">
      <c r="A828" t="str">
        <f t="shared" si="12"/>
        <v>EchallensSolaireCHAUFF</v>
      </c>
      <c r="B828" s="148">
        <v>5518</v>
      </c>
      <c r="C828" s="148" t="s">
        <v>454</v>
      </c>
      <c r="D828" s="148" t="s">
        <v>240</v>
      </c>
      <c r="E828" s="148">
        <v>81154.8</v>
      </c>
      <c r="F828" t="s">
        <v>249</v>
      </c>
      <c r="G828"/>
    </row>
    <row r="829" spans="1:7" ht="15.75">
      <c r="A829" t="str">
        <f t="shared" si="12"/>
        <v>EchandensBoisCHAUFF</v>
      </c>
      <c r="B829" s="148">
        <v>5633</v>
      </c>
      <c r="C829" s="148" t="s">
        <v>152</v>
      </c>
      <c r="D829" s="148" t="s">
        <v>66</v>
      </c>
      <c r="E829" s="148">
        <v>144807.9654902</v>
      </c>
      <c r="F829" t="s">
        <v>249</v>
      </c>
      <c r="G829"/>
    </row>
    <row r="830" spans="1:7" ht="15.75">
      <c r="A830" t="str">
        <f t="shared" si="12"/>
        <v>EchandensElectricitéCHAUFF</v>
      </c>
      <c r="B830" s="148">
        <v>5633</v>
      </c>
      <c r="C830" s="148" t="s">
        <v>152</v>
      </c>
      <c r="D830" s="148" t="s">
        <v>97</v>
      </c>
      <c r="E830" s="148">
        <v>3828235.4838709687</v>
      </c>
      <c r="F830" t="s">
        <v>249</v>
      </c>
      <c r="G830"/>
    </row>
    <row r="831" spans="1:7" ht="15.75">
      <c r="A831" t="str">
        <f t="shared" si="12"/>
        <v>EchandensGazCHAUFF</v>
      </c>
      <c r="B831" s="148">
        <v>5633</v>
      </c>
      <c r="C831" s="148" t="s">
        <v>152</v>
      </c>
      <c r="D831" s="148" t="s">
        <v>239</v>
      </c>
      <c r="E831" s="148">
        <v>8677547.4383901339</v>
      </c>
      <c r="F831" t="s">
        <v>249</v>
      </c>
      <c r="G831"/>
    </row>
    <row r="832" spans="1:7" ht="15.75">
      <c r="A832" t="str">
        <f t="shared" si="12"/>
        <v>EchandensMazoutCHAUFF</v>
      </c>
      <c r="B832" s="148">
        <v>5633</v>
      </c>
      <c r="C832" s="148" t="s">
        <v>152</v>
      </c>
      <c r="D832" s="148" t="s">
        <v>70</v>
      </c>
      <c r="E832" s="148">
        <v>10493034.856755055</v>
      </c>
      <c r="F832" t="s">
        <v>249</v>
      </c>
      <c r="G832"/>
    </row>
    <row r="833" spans="1:7" ht="15.75">
      <c r="A833" t="str">
        <f t="shared" si="12"/>
        <v>EchandensNon renseignéCHAUFF</v>
      </c>
      <c r="B833" s="148">
        <v>5633</v>
      </c>
      <c r="C833" s="148" t="s">
        <v>152</v>
      </c>
      <c r="D833" s="148" t="s">
        <v>696</v>
      </c>
      <c r="E833" s="148">
        <v>0</v>
      </c>
      <c r="F833" t="s">
        <v>249</v>
      </c>
      <c r="G833"/>
    </row>
    <row r="834" spans="1:7" ht="15.75">
      <c r="A834" t="str">
        <f t="shared" si="12"/>
        <v>EchandensPACCHAUFF</v>
      </c>
      <c r="B834" s="148">
        <v>5633</v>
      </c>
      <c r="C834" s="148" t="s">
        <v>152</v>
      </c>
      <c r="D834" s="148" t="s">
        <v>69</v>
      </c>
      <c r="E834" s="148">
        <v>754029.03285524982</v>
      </c>
      <c r="F834" t="s">
        <v>249</v>
      </c>
      <c r="G834"/>
    </row>
    <row r="835" spans="1:7" ht="15.75">
      <c r="A835" t="str">
        <f t="shared" ref="A835:A898" si="13">_xlfn.CONCAT(C835,D835,F835)</f>
        <v>EchandensSolaireCHAUFF</v>
      </c>
      <c r="B835" s="148">
        <v>5633</v>
      </c>
      <c r="C835" s="148" t="s">
        <v>152</v>
      </c>
      <c r="D835" s="148" t="s">
        <v>240</v>
      </c>
      <c r="E835" s="148">
        <v>27688.799999999999</v>
      </c>
      <c r="F835" t="s">
        <v>249</v>
      </c>
      <c r="G835"/>
    </row>
    <row r="836" spans="1:7" ht="15.75">
      <c r="A836" t="str">
        <f t="shared" si="13"/>
        <v>EchichensAutre agent énergétiqueCHAUFF</v>
      </c>
      <c r="B836" s="148">
        <v>5634</v>
      </c>
      <c r="C836" s="148" t="s">
        <v>455</v>
      </c>
      <c r="D836" s="148" t="s">
        <v>245</v>
      </c>
      <c r="E836" s="148">
        <v>10014.11764706</v>
      </c>
      <c r="F836" t="s">
        <v>249</v>
      </c>
      <c r="G836"/>
    </row>
    <row r="837" spans="1:7" ht="15.75">
      <c r="A837" t="str">
        <f t="shared" si="13"/>
        <v>EchichensBoisCHAUFF</v>
      </c>
      <c r="B837" s="148">
        <v>5634</v>
      </c>
      <c r="C837" s="148" t="s">
        <v>455</v>
      </c>
      <c r="D837" s="148" t="s">
        <v>66</v>
      </c>
      <c r="E837" s="148">
        <v>2925366.3372548902</v>
      </c>
      <c r="F837" t="s">
        <v>249</v>
      </c>
      <c r="G837"/>
    </row>
    <row r="838" spans="1:7" ht="15.75">
      <c r="A838" t="str">
        <f t="shared" si="13"/>
        <v>EchichensCADCHAUFF</v>
      </c>
      <c r="B838" s="148">
        <v>5634</v>
      </c>
      <c r="C838" s="148" t="s">
        <v>455</v>
      </c>
      <c r="D838" s="148" t="s">
        <v>242</v>
      </c>
      <c r="E838" s="148">
        <v>947674.08000000007</v>
      </c>
      <c r="F838" t="s">
        <v>249</v>
      </c>
      <c r="G838"/>
    </row>
    <row r="839" spans="1:7" ht="15.75">
      <c r="A839" t="str">
        <f t="shared" si="13"/>
        <v>EchichensElectricitéCHAUFF</v>
      </c>
      <c r="B839" s="148">
        <v>5634</v>
      </c>
      <c r="C839" s="148" t="s">
        <v>455</v>
      </c>
      <c r="D839" s="148" t="s">
        <v>97</v>
      </c>
      <c r="E839" s="148">
        <v>3323139.1397849792</v>
      </c>
      <c r="F839" t="s">
        <v>249</v>
      </c>
      <c r="G839"/>
    </row>
    <row r="840" spans="1:7" ht="15.75">
      <c r="A840" t="str">
        <f t="shared" si="13"/>
        <v>EchichensGazCHAUFF</v>
      </c>
      <c r="B840" s="148">
        <v>5634</v>
      </c>
      <c r="C840" s="148" t="s">
        <v>455</v>
      </c>
      <c r="D840" s="148" t="s">
        <v>239</v>
      </c>
      <c r="E840" s="148">
        <v>2626837.4922600309</v>
      </c>
      <c r="F840" t="s">
        <v>249</v>
      </c>
      <c r="G840"/>
    </row>
    <row r="841" spans="1:7" ht="15.75">
      <c r="A841" t="str">
        <f t="shared" si="13"/>
        <v>EchichensMazoutCHAUFF</v>
      </c>
      <c r="B841" s="148">
        <v>5634</v>
      </c>
      <c r="C841" s="148" t="s">
        <v>455</v>
      </c>
      <c r="D841" s="148" t="s">
        <v>70</v>
      </c>
      <c r="E841" s="148">
        <v>18917731.694117729</v>
      </c>
      <c r="F841" t="s">
        <v>249</v>
      </c>
      <c r="G841"/>
    </row>
    <row r="842" spans="1:7" ht="15.75">
      <c r="A842" t="str">
        <f t="shared" si="13"/>
        <v>EchichensNon renseignéCHAUFF</v>
      </c>
      <c r="B842" s="148">
        <v>5634</v>
      </c>
      <c r="C842" s="148" t="s">
        <v>455</v>
      </c>
      <c r="D842" s="148" t="s">
        <v>696</v>
      </c>
      <c r="E842" s="148">
        <v>0</v>
      </c>
      <c r="F842" t="s">
        <v>249</v>
      </c>
      <c r="G842"/>
    </row>
    <row r="843" spans="1:7" ht="15.75">
      <c r="A843" t="str">
        <f t="shared" si="13"/>
        <v>EchichensPACCHAUFF</v>
      </c>
      <c r="B843" s="148">
        <v>5634</v>
      </c>
      <c r="C843" s="148" t="s">
        <v>455</v>
      </c>
      <c r="D843" s="148" t="s">
        <v>69</v>
      </c>
      <c r="E843" s="148">
        <v>745422.40879485977</v>
      </c>
      <c r="F843" t="s">
        <v>249</v>
      </c>
      <c r="G843"/>
    </row>
    <row r="844" spans="1:7" ht="15.75">
      <c r="A844" t="str">
        <f t="shared" si="13"/>
        <v>EchichensSolaireCHAUFF</v>
      </c>
      <c r="B844" s="148">
        <v>5634</v>
      </c>
      <c r="C844" s="148" t="s">
        <v>455</v>
      </c>
      <c r="D844" s="148" t="s">
        <v>240</v>
      </c>
      <c r="E844" s="148" t="e">
        <v>#N/A</v>
      </c>
      <c r="F844" t="s">
        <v>249</v>
      </c>
      <c r="G844"/>
    </row>
    <row r="845" spans="1:7" ht="15.75">
      <c r="A845" t="str">
        <f t="shared" si="13"/>
        <v>EclépensBoisCHAUFF</v>
      </c>
      <c r="B845" s="148">
        <v>5482</v>
      </c>
      <c r="C845" s="148" t="s">
        <v>646</v>
      </c>
      <c r="D845" s="148" t="s">
        <v>66</v>
      </c>
      <c r="E845" s="148">
        <v>349773.52156862</v>
      </c>
      <c r="F845" t="s">
        <v>249</v>
      </c>
      <c r="G845"/>
    </row>
    <row r="846" spans="1:7" ht="15.75">
      <c r="A846" t="str">
        <f t="shared" si="13"/>
        <v>EclépensCADCHAUFF</v>
      </c>
      <c r="B846" s="148">
        <v>5482</v>
      </c>
      <c r="C846" s="148" t="s">
        <v>646</v>
      </c>
      <c r="D846" s="148" t="s">
        <v>242</v>
      </c>
      <c r="E846" s="148">
        <v>7206950.5800000029</v>
      </c>
      <c r="F846" t="s">
        <v>249</v>
      </c>
      <c r="G846"/>
    </row>
    <row r="847" spans="1:7" ht="15.75">
      <c r="A847" t="str">
        <f t="shared" si="13"/>
        <v>EclépensElectricitéCHAUFF</v>
      </c>
      <c r="B847" s="148">
        <v>5482</v>
      </c>
      <c r="C847" s="148" t="s">
        <v>646</v>
      </c>
      <c r="D847" s="148" t="s">
        <v>97</v>
      </c>
      <c r="E847" s="148">
        <v>703007.68817205005</v>
      </c>
      <c r="F847" t="s">
        <v>249</v>
      </c>
      <c r="G847"/>
    </row>
    <row r="848" spans="1:7" ht="15.75">
      <c r="A848" t="str">
        <f t="shared" si="13"/>
        <v>EclépensGazCHAUFF</v>
      </c>
      <c r="B848" s="148">
        <v>5482</v>
      </c>
      <c r="C848" s="148" t="s">
        <v>646</v>
      </c>
      <c r="D848" s="148" t="s">
        <v>239</v>
      </c>
      <c r="E848" s="148">
        <v>394513.38699691999</v>
      </c>
      <c r="F848" t="s">
        <v>249</v>
      </c>
      <c r="G848"/>
    </row>
    <row r="849" spans="1:7" ht="15.75">
      <c r="A849" t="str">
        <f t="shared" si="13"/>
        <v>EclépensMazoutCHAUFF</v>
      </c>
      <c r="B849" s="148">
        <v>5482</v>
      </c>
      <c r="C849" s="148" t="s">
        <v>646</v>
      </c>
      <c r="D849" s="148" t="s">
        <v>70</v>
      </c>
      <c r="E849" s="148">
        <v>2754152.1695129699</v>
      </c>
      <c r="F849" t="s">
        <v>249</v>
      </c>
      <c r="G849"/>
    </row>
    <row r="850" spans="1:7" ht="15.75">
      <c r="A850" t="str">
        <f t="shared" si="13"/>
        <v>EclépensNon renseignéCHAUFF</v>
      </c>
      <c r="B850" s="148">
        <v>5482</v>
      </c>
      <c r="C850" s="148" t="s">
        <v>646</v>
      </c>
      <c r="D850" s="148" t="s">
        <v>696</v>
      </c>
      <c r="E850" s="148">
        <v>0</v>
      </c>
      <c r="F850" t="s">
        <v>249</v>
      </c>
      <c r="G850"/>
    </row>
    <row r="851" spans="1:7" ht="15.75">
      <c r="A851" t="str">
        <f t="shared" si="13"/>
        <v>EclépensPACCHAUFF</v>
      </c>
      <c r="B851" s="148">
        <v>5482</v>
      </c>
      <c r="C851" s="148" t="s">
        <v>646</v>
      </c>
      <c r="D851" s="148" t="s">
        <v>69</v>
      </c>
      <c r="E851" s="148">
        <v>60413.819645729993</v>
      </c>
      <c r="F851" t="s">
        <v>249</v>
      </c>
      <c r="G851"/>
    </row>
    <row r="852" spans="1:7" ht="15.75">
      <c r="A852" t="str">
        <f t="shared" si="13"/>
        <v>EclépensSolaireCHAUFF</v>
      </c>
      <c r="B852" s="148">
        <v>5482</v>
      </c>
      <c r="C852" s="148" t="s">
        <v>646</v>
      </c>
      <c r="D852" s="148" t="s">
        <v>240</v>
      </c>
      <c r="E852" s="148" t="e">
        <v>#N/A</v>
      </c>
      <c r="F852" t="s">
        <v>249</v>
      </c>
      <c r="G852"/>
    </row>
    <row r="853" spans="1:7" ht="15.75">
      <c r="A853" t="str">
        <f t="shared" si="13"/>
        <v>Ecublens (VD)BoisCHAUFF</v>
      </c>
      <c r="B853" s="148">
        <v>5635</v>
      </c>
      <c r="C853" s="148" t="s">
        <v>685</v>
      </c>
      <c r="D853" s="148" t="s">
        <v>66</v>
      </c>
      <c r="E853" s="148">
        <v>1887961.0839215801</v>
      </c>
      <c r="F853" t="s">
        <v>249</v>
      </c>
      <c r="G853"/>
    </row>
    <row r="854" spans="1:7" ht="15.75">
      <c r="A854" t="str">
        <f t="shared" si="13"/>
        <v>Ecublens (VD)CADCHAUFF</v>
      </c>
      <c r="B854" s="148">
        <v>5635</v>
      </c>
      <c r="C854" s="148" t="s">
        <v>685</v>
      </c>
      <c r="D854" s="148" t="s">
        <v>242</v>
      </c>
      <c r="E854" s="148">
        <v>7934577.29411765</v>
      </c>
      <c r="F854" t="s">
        <v>249</v>
      </c>
      <c r="G854"/>
    </row>
    <row r="855" spans="1:7" ht="15.75">
      <c r="A855" t="str">
        <f t="shared" si="13"/>
        <v>Ecublens (VD)CharbonCHAUFF</v>
      </c>
      <c r="B855" s="148">
        <v>5635</v>
      </c>
      <c r="C855" s="148" t="s">
        <v>685</v>
      </c>
      <c r="D855" s="148" t="s">
        <v>695</v>
      </c>
      <c r="E855" s="148" t="e">
        <v>#N/A</v>
      </c>
      <c r="F855" t="s">
        <v>249</v>
      </c>
      <c r="G855"/>
    </row>
    <row r="856" spans="1:7" ht="15.75">
      <c r="A856" t="str">
        <f t="shared" si="13"/>
        <v>Ecublens (VD)ElectricitéCHAUFF</v>
      </c>
      <c r="B856" s="148">
        <v>5635</v>
      </c>
      <c r="C856" s="148" t="s">
        <v>685</v>
      </c>
      <c r="D856" s="148" t="s">
        <v>97</v>
      </c>
      <c r="E856" s="148">
        <v>4207014.1290322691</v>
      </c>
      <c r="F856" t="s">
        <v>249</v>
      </c>
      <c r="G856"/>
    </row>
    <row r="857" spans="1:7" ht="15.75">
      <c r="A857" t="str">
        <f t="shared" si="13"/>
        <v>Ecublens (VD)GazCHAUFF</v>
      </c>
      <c r="B857" s="148">
        <v>5635</v>
      </c>
      <c r="C857" s="148" t="s">
        <v>685</v>
      </c>
      <c r="D857" s="148" t="s">
        <v>239</v>
      </c>
      <c r="E857" s="148">
        <v>48705198.961109973</v>
      </c>
      <c r="F857" t="s">
        <v>249</v>
      </c>
      <c r="G857"/>
    </row>
    <row r="858" spans="1:7" ht="15.75">
      <c r="A858" t="str">
        <f t="shared" si="13"/>
        <v>Ecublens (VD)MazoutCHAUFF</v>
      </c>
      <c r="B858" s="148">
        <v>5635</v>
      </c>
      <c r="C858" s="148" t="s">
        <v>685</v>
      </c>
      <c r="D858" s="148" t="s">
        <v>70</v>
      </c>
      <c r="E858" s="148">
        <v>32849641.400000092</v>
      </c>
      <c r="F858" t="s">
        <v>249</v>
      </c>
      <c r="G858"/>
    </row>
    <row r="859" spans="1:7" ht="15.75">
      <c r="A859" t="str">
        <f t="shared" si="13"/>
        <v>Ecublens (VD)Non renseignéCHAUFF</v>
      </c>
      <c r="B859" s="148">
        <v>5635</v>
      </c>
      <c r="C859" s="148" t="s">
        <v>685</v>
      </c>
      <c r="D859" s="148" t="s">
        <v>696</v>
      </c>
      <c r="E859" s="148">
        <v>0</v>
      </c>
      <c r="F859" t="s">
        <v>249</v>
      </c>
      <c r="G859"/>
    </row>
    <row r="860" spans="1:7" ht="15.75">
      <c r="A860" t="str">
        <f t="shared" si="13"/>
        <v>Ecublens (VD)PACCHAUFF</v>
      </c>
      <c r="B860" s="148">
        <v>5635</v>
      </c>
      <c r="C860" s="148" t="s">
        <v>685</v>
      </c>
      <c r="D860" s="148" t="s">
        <v>69</v>
      </c>
      <c r="E860" s="148">
        <v>1094939.2061603803</v>
      </c>
      <c r="F860" t="s">
        <v>249</v>
      </c>
      <c r="G860"/>
    </row>
    <row r="861" spans="1:7" ht="15.75">
      <c r="A861" t="str">
        <f t="shared" si="13"/>
        <v>Ecublens (VD)SolaireCHAUFF</v>
      </c>
      <c r="B861" s="148">
        <v>5635</v>
      </c>
      <c r="C861" s="148" t="s">
        <v>685</v>
      </c>
      <c r="D861" s="148" t="s">
        <v>240</v>
      </c>
      <c r="E861" s="148" t="e">
        <v>#N/A</v>
      </c>
      <c r="F861" t="s">
        <v>249</v>
      </c>
      <c r="G861"/>
    </row>
    <row r="862" spans="1:7" ht="15.75">
      <c r="A862" t="str">
        <f t="shared" si="13"/>
        <v>EpalingesAutre agent énergétiqueCHAUFF</v>
      </c>
      <c r="B862" s="148">
        <v>5584</v>
      </c>
      <c r="C862" s="148" t="s">
        <v>456</v>
      </c>
      <c r="D862" s="148" t="s">
        <v>245</v>
      </c>
      <c r="E862" s="148">
        <v>723886.11764706008</v>
      </c>
      <c r="F862" t="s">
        <v>249</v>
      </c>
      <c r="G862"/>
    </row>
    <row r="863" spans="1:7" ht="15.75">
      <c r="A863" t="str">
        <f t="shared" si="13"/>
        <v>EpalingesBoisCHAUFF</v>
      </c>
      <c r="B863" s="148">
        <v>5584</v>
      </c>
      <c r="C863" s="148" t="s">
        <v>456</v>
      </c>
      <c r="D863" s="148" t="s">
        <v>66</v>
      </c>
      <c r="E863" s="148">
        <v>2503050.8256313708</v>
      </c>
      <c r="F863" t="s">
        <v>249</v>
      </c>
      <c r="G863"/>
    </row>
    <row r="864" spans="1:7" ht="15.75">
      <c r="A864" t="str">
        <f t="shared" si="13"/>
        <v>EpalingesCADCHAUFF</v>
      </c>
      <c r="B864" s="148">
        <v>5584</v>
      </c>
      <c r="C864" s="148" t="s">
        <v>456</v>
      </c>
      <c r="D864" s="148" t="s">
        <v>242</v>
      </c>
      <c r="E864" s="148">
        <v>3374576.0404000003</v>
      </c>
      <c r="F864" t="s">
        <v>249</v>
      </c>
      <c r="G864"/>
    </row>
    <row r="865" spans="1:7" ht="15.75">
      <c r="A865" t="str">
        <f t="shared" si="13"/>
        <v>EpalingesElectricitéCHAUFF</v>
      </c>
      <c r="B865" s="148">
        <v>5584</v>
      </c>
      <c r="C865" s="148" t="s">
        <v>456</v>
      </c>
      <c r="D865" s="148" t="s">
        <v>97</v>
      </c>
      <c r="E865" s="148">
        <v>7668445.8064516289</v>
      </c>
      <c r="F865" t="s">
        <v>249</v>
      </c>
      <c r="G865"/>
    </row>
    <row r="866" spans="1:7" ht="15.75">
      <c r="A866" t="str">
        <f t="shared" si="13"/>
        <v>EpalingesGazCHAUFF</v>
      </c>
      <c r="B866" s="148">
        <v>5584</v>
      </c>
      <c r="C866" s="148" t="s">
        <v>456</v>
      </c>
      <c r="D866" s="148" t="s">
        <v>239</v>
      </c>
      <c r="E866" s="148">
        <v>28670202.638749383</v>
      </c>
      <c r="F866" t="s">
        <v>249</v>
      </c>
      <c r="G866"/>
    </row>
    <row r="867" spans="1:7" ht="15.75">
      <c r="A867" t="str">
        <f t="shared" si="13"/>
        <v>EpalingesMazoutCHAUFF</v>
      </c>
      <c r="B867" s="148">
        <v>5584</v>
      </c>
      <c r="C867" s="148" t="s">
        <v>456</v>
      </c>
      <c r="D867" s="148" t="s">
        <v>70</v>
      </c>
      <c r="E867" s="148">
        <v>29734990.122171912</v>
      </c>
      <c r="F867" t="s">
        <v>249</v>
      </c>
      <c r="G867"/>
    </row>
    <row r="868" spans="1:7" ht="15.75">
      <c r="A868" t="str">
        <f t="shared" si="13"/>
        <v>EpalingesNon renseignéCHAUFF</v>
      </c>
      <c r="B868" s="148">
        <v>5584</v>
      </c>
      <c r="C868" s="148" t="s">
        <v>456</v>
      </c>
      <c r="D868" s="148" t="s">
        <v>696</v>
      </c>
      <c r="E868" s="148">
        <v>0</v>
      </c>
      <c r="F868" t="s">
        <v>249</v>
      </c>
      <c r="G868"/>
    </row>
    <row r="869" spans="1:7" ht="15.75">
      <c r="A869" t="str">
        <f t="shared" si="13"/>
        <v>EpalingesPACCHAUFF</v>
      </c>
      <c r="B869" s="148">
        <v>5584</v>
      </c>
      <c r="C869" s="148" t="s">
        <v>456</v>
      </c>
      <c r="D869" s="148" t="s">
        <v>69</v>
      </c>
      <c r="E869" s="148">
        <v>2336552.0040933513</v>
      </c>
      <c r="F869" t="s">
        <v>249</v>
      </c>
      <c r="G869"/>
    </row>
    <row r="870" spans="1:7" ht="15.75">
      <c r="A870" t="str">
        <f t="shared" si="13"/>
        <v>EpalingesSolaireCHAUFF</v>
      </c>
      <c r="B870" s="148">
        <v>5584</v>
      </c>
      <c r="C870" s="148" t="s">
        <v>456</v>
      </c>
      <c r="D870" s="148" t="s">
        <v>240</v>
      </c>
      <c r="E870" s="148">
        <v>11016</v>
      </c>
      <c r="F870" t="s">
        <v>249</v>
      </c>
      <c r="G870"/>
    </row>
    <row r="871" spans="1:7" ht="15.75">
      <c r="A871" t="str">
        <f t="shared" si="13"/>
        <v>Ependes (VD)BoisCHAUFF</v>
      </c>
      <c r="B871" s="148">
        <v>5914</v>
      </c>
      <c r="C871" s="148" t="s">
        <v>645</v>
      </c>
      <c r="D871" s="148" t="s">
        <v>66</v>
      </c>
      <c r="E871" s="148">
        <v>499026.05490195</v>
      </c>
      <c r="F871" t="s">
        <v>249</v>
      </c>
      <c r="G871"/>
    </row>
    <row r="872" spans="1:7" ht="15.75">
      <c r="A872" t="str">
        <f t="shared" si="13"/>
        <v>Ependes (VD)ElectricitéCHAUFF</v>
      </c>
      <c r="B872" s="148">
        <v>5914</v>
      </c>
      <c r="C872" s="148" t="s">
        <v>645</v>
      </c>
      <c r="D872" s="148" t="s">
        <v>97</v>
      </c>
      <c r="E872" s="148">
        <v>621652.90322579001</v>
      </c>
      <c r="F872" t="s">
        <v>249</v>
      </c>
      <c r="G872"/>
    </row>
    <row r="873" spans="1:7" ht="15.75">
      <c r="A873" t="str">
        <f t="shared" si="13"/>
        <v>Ependes (VD)GazCHAUFF</v>
      </c>
      <c r="B873" s="148">
        <v>5914</v>
      </c>
      <c r="C873" s="148" t="s">
        <v>645</v>
      </c>
      <c r="D873" s="148" t="s">
        <v>239</v>
      </c>
      <c r="E873" s="148">
        <v>1245283.5876160902</v>
      </c>
      <c r="F873" t="s">
        <v>249</v>
      </c>
      <c r="G873"/>
    </row>
    <row r="874" spans="1:7" ht="15.75">
      <c r="A874" t="str">
        <f t="shared" si="13"/>
        <v>Ependes (VD)MazoutCHAUFF</v>
      </c>
      <c r="B874" s="148">
        <v>5914</v>
      </c>
      <c r="C874" s="148" t="s">
        <v>645</v>
      </c>
      <c r="D874" s="148" t="s">
        <v>70</v>
      </c>
      <c r="E874" s="148">
        <v>2083995.2941176305</v>
      </c>
      <c r="F874" t="s">
        <v>249</v>
      </c>
      <c r="G874"/>
    </row>
    <row r="875" spans="1:7" ht="15.75">
      <c r="A875" t="str">
        <f t="shared" si="13"/>
        <v>Ependes (VD)Non renseignéCHAUFF</v>
      </c>
      <c r="B875" s="148">
        <v>5914</v>
      </c>
      <c r="C875" s="148" t="s">
        <v>645</v>
      </c>
      <c r="D875" s="148" t="s">
        <v>696</v>
      </c>
      <c r="E875" s="148">
        <v>0</v>
      </c>
      <c r="F875" t="s">
        <v>249</v>
      </c>
      <c r="G875"/>
    </row>
    <row r="876" spans="1:7" ht="15.75">
      <c r="A876" t="str">
        <f t="shared" si="13"/>
        <v>Ependes (VD)PACCHAUFF</v>
      </c>
      <c r="B876" s="148">
        <v>5914</v>
      </c>
      <c r="C876" s="148" t="s">
        <v>645</v>
      </c>
      <c r="D876" s="148" t="s">
        <v>69</v>
      </c>
      <c r="E876" s="148">
        <v>98446.838003220008</v>
      </c>
      <c r="F876" t="s">
        <v>249</v>
      </c>
      <c r="G876"/>
    </row>
    <row r="877" spans="1:7" ht="15.75">
      <c r="A877" t="str">
        <f t="shared" si="13"/>
        <v>Ependes (VD)SolaireCHAUFF</v>
      </c>
      <c r="B877" s="148">
        <v>5914</v>
      </c>
      <c r="C877" s="148" t="s">
        <v>645</v>
      </c>
      <c r="D877" s="148" t="s">
        <v>240</v>
      </c>
      <c r="E877" s="148" t="e">
        <v>#N/A</v>
      </c>
      <c r="F877" t="s">
        <v>249</v>
      </c>
      <c r="G877"/>
    </row>
    <row r="878" spans="1:7" ht="15.75">
      <c r="A878" t="str">
        <f t="shared" si="13"/>
        <v>EssertesBoisCHAUFF</v>
      </c>
      <c r="B878" s="148">
        <v>5788</v>
      </c>
      <c r="C878" s="148" t="s">
        <v>457</v>
      </c>
      <c r="D878" s="148" t="s">
        <v>66</v>
      </c>
      <c r="E878" s="148">
        <v>89532</v>
      </c>
      <c r="F878" t="s">
        <v>249</v>
      </c>
      <c r="G878"/>
    </row>
    <row r="879" spans="1:7" ht="15.75">
      <c r="A879" t="str">
        <f t="shared" si="13"/>
        <v>EssertesElectricitéCHAUFF</v>
      </c>
      <c r="B879" s="148">
        <v>5788</v>
      </c>
      <c r="C879" s="148" t="s">
        <v>457</v>
      </c>
      <c r="D879" s="148" t="s">
        <v>97</v>
      </c>
      <c r="E879" s="148">
        <v>915405.37634409999</v>
      </c>
      <c r="F879" t="s">
        <v>249</v>
      </c>
      <c r="G879"/>
    </row>
    <row r="880" spans="1:7" ht="15.75">
      <c r="A880" t="str">
        <f t="shared" si="13"/>
        <v>EssertesGazCHAUFF</v>
      </c>
      <c r="B880" s="148">
        <v>5788</v>
      </c>
      <c r="C880" s="148" t="s">
        <v>457</v>
      </c>
      <c r="D880" s="148" t="s">
        <v>239</v>
      </c>
      <c r="E880" s="148">
        <v>840399.31181733997</v>
      </c>
      <c r="F880" t="s">
        <v>249</v>
      </c>
      <c r="G880"/>
    </row>
    <row r="881" spans="1:7" ht="15.75">
      <c r="A881" t="str">
        <f t="shared" si="13"/>
        <v>EssertesMazoutCHAUFF</v>
      </c>
      <c r="B881" s="148">
        <v>5788</v>
      </c>
      <c r="C881" s="148" t="s">
        <v>457</v>
      </c>
      <c r="D881" s="148" t="s">
        <v>70</v>
      </c>
      <c r="E881" s="148">
        <v>2473520.4705882496</v>
      </c>
      <c r="F881" t="s">
        <v>249</v>
      </c>
      <c r="G881"/>
    </row>
    <row r="882" spans="1:7" ht="15.75">
      <c r="A882" t="str">
        <f t="shared" si="13"/>
        <v>EssertesNon renseignéCHAUFF</v>
      </c>
      <c r="B882" s="148">
        <v>5788</v>
      </c>
      <c r="C882" s="148" t="s">
        <v>457</v>
      </c>
      <c r="D882" s="148" t="s">
        <v>696</v>
      </c>
      <c r="E882" s="148">
        <v>0</v>
      </c>
      <c r="F882" t="s">
        <v>249</v>
      </c>
      <c r="G882"/>
    </row>
    <row r="883" spans="1:7" ht="15.75">
      <c r="A883" t="str">
        <f t="shared" si="13"/>
        <v>EssertesPACCHAUFF</v>
      </c>
      <c r="B883" s="148">
        <v>5788</v>
      </c>
      <c r="C883" s="148" t="s">
        <v>457</v>
      </c>
      <c r="D883" s="148" t="s">
        <v>69</v>
      </c>
      <c r="E883" s="148">
        <v>250021.80982266</v>
      </c>
      <c r="F883" t="s">
        <v>249</v>
      </c>
      <c r="G883"/>
    </row>
    <row r="884" spans="1:7" ht="15.75">
      <c r="A884" t="str">
        <f t="shared" si="13"/>
        <v>EssertesSolaireCHAUFF</v>
      </c>
      <c r="B884" s="148">
        <v>5788</v>
      </c>
      <c r="C884" s="148" t="s">
        <v>457</v>
      </c>
      <c r="D884" s="148" t="s">
        <v>240</v>
      </c>
      <c r="E884" s="148">
        <v>469.44</v>
      </c>
      <c r="F884" t="s">
        <v>249</v>
      </c>
      <c r="G884"/>
    </row>
    <row r="885" spans="1:7" ht="15.75">
      <c r="A885" t="str">
        <f t="shared" si="13"/>
        <v>EssertesAutre agent énergétiqueCHAUFF</v>
      </c>
      <c r="B885" s="148">
        <v>5788</v>
      </c>
      <c r="C885" s="148" t="s">
        <v>457</v>
      </c>
      <c r="D885" s="148" t="s">
        <v>245</v>
      </c>
      <c r="E885" s="148" t="e">
        <v>#N/A</v>
      </c>
      <c r="F885" t="s">
        <v>249</v>
      </c>
      <c r="G885"/>
    </row>
    <row r="886" spans="1:7" ht="15.75">
      <c r="A886" t="str">
        <f t="shared" si="13"/>
        <v>Essertines-sur-RolleBoisCHAUFF</v>
      </c>
      <c r="B886" s="148">
        <v>5856</v>
      </c>
      <c r="C886" s="148" t="s">
        <v>644</v>
      </c>
      <c r="D886" s="148" t="s">
        <v>66</v>
      </c>
      <c r="E886" s="148">
        <v>1384395.0588235201</v>
      </c>
      <c r="F886" t="s">
        <v>249</v>
      </c>
      <c r="G886"/>
    </row>
    <row r="887" spans="1:7" ht="15.75">
      <c r="A887" t="str">
        <f t="shared" si="13"/>
        <v>Essertines-sur-RolleCADCHAUFF</v>
      </c>
      <c r="B887" s="148">
        <v>5856</v>
      </c>
      <c r="C887" s="148" t="s">
        <v>644</v>
      </c>
      <c r="D887" s="148" t="s">
        <v>242</v>
      </c>
      <c r="E887" s="148" t="e">
        <v>#N/A</v>
      </c>
      <c r="F887" t="s">
        <v>249</v>
      </c>
      <c r="G887"/>
    </row>
    <row r="888" spans="1:7" ht="15.75">
      <c r="A888" t="str">
        <f t="shared" si="13"/>
        <v>Essertines-sur-RolleElectricitéCHAUFF</v>
      </c>
      <c r="B888" s="148">
        <v>5856</v>
      </c>
      <c r="C888" s="148" t="s">
        <v>644</v>
      </c>
      <c r="D888" s="148" t="s">
        <v>97</v>
      </c>
      <c r="E888" s="148">
        <v>1418672.79569891</v>
      </c>
      <c r="F888" t="s">
        <v>249</v>
      </c>
      <c r="G888"/>
    </row>
    <row r="889" spans="1:7" ht="15.75">
      <c r="A889" t="str">
        <f t="shared" si="13"/>
        <v>Essertines-sur-RolleGazCHAUFF</v>
      </c>
      <c r="B889" s="148">
        <v>5856</v>
      </c>
      <c r="C889" s="148" t="s">
        <v>644</v>
      </c>
      <c r="D889" s="148" t="s">
        <v>239</v>
      </c>
      <c r="E889" s="148">
        <v>370956.08668731002</v>
      </c>
      <c r="F889" t="s">
        <v>249</v>
      </c>
      <c r="G889"/>
    </row>
    <row r="890" spans="1:7" ht="15.75">
      <c r="A890" t="str">
        <f t="shared" si="13"/>
        <v>Essertines-sur-RolleMazoutCHAUFF</v>
      </c>
      <c r="B890" s="148">
        <v>5856</v>
      </c>
      <c r="C890" s="148" t="s">
        <v>644</v>
      </c>
      <c r="D890" s="148" t="s">
        <v>70</v>
      </c>
      <c r="E890" s="148">
        <v>4653557.38823527</v>
      </c>
      <c r="F890" t="s">
        <v>249</v>
      </c>
      <c r="G890"/>
    </row>
    <row r="891" spans="1:7" ht="15.75">
      <c r="A891" t="str">
        <f t="shared" si="13"/>
        <v>Essertines-sur-RolleNon renseignéCHAUFF</v>
      </c>
      <c r="B891" s="148">
        <v>5856</v>
      </c>
      <c r="C891" s="148" t="s">
        <v>644</v>
      </c>
      <c r="D891" s="148" t="s">
        <v>696</v>
      </c>
      <c r="E891" s="148">
        <v>0</v>
      </c>
      <c r="F891" t="s">
        <v>249</v>
      </c>
      <c r="G891"/>
    </row>
    <row r="892" spans="1:7" ht="15.75">
      <c r="A892" t="str">
        <f t="shared" si="13"/>
        <v>Essertines-sur-RollePACCHAUFF</v>
      </c>
      <c r="B892" s="148">
        <v>5856</v>
      </c>
      <c r="C892" s="148" t="s">
        <v>644</v>
      </c>
      <c r="D892" s="148" t="s">
        <v>69</v>
      </c>
      <c r="E892" s="148">
        <v>112596.16965353</v>
      </c>
      <c r="F892" t="s">
        <v>249</v>
      </c>
      <c r="G892"/>
    </row>
    <row r="893" spans="1:7" ht="15.75">
      <c r="A893" t="str">
        <f t="shared" si="13"/>
        <v>Essertines-sur-RolleSolaireCHAUFF</v>
      </c>
      <c r="B893" s="148">
        <v>5856</v>
      </c>
      <c r="C893" s="148" t="s">
        <v>644</v>
      </c>
      <c r="D893" s="148" t="s">
        <v>240</v>
      </c>
      <c r="E893" s="148">
        <v>29731.200000000001</v>
      </c>
      <c r="F893" t="s">
        <v>249</v>
      </c>
      <c r="G893"/>
    </row>
    <row r="894" spans="1:7" ht="15.75">
      <c r="A894" t="str">
        <f t="shared" si="13"/>
        <v>Essertines-sur-YverdonBoisCHAUFF</v>
      </c>
      <c r="B894" s="148">
        <v>5520</v>
      </c>
      <c r="C894" s="148" t="s">
        <v>643</v>
      </c>
      <c r="D894" s="148" t="s">
        <v>66</v>
      </c>
      <c r="E894" s="148">
        <v>2379651.2831372698</v>
      </c>
      <c r="F894" t="s">
        <v>249</v>
      </c>
      <c r="G894"/>
    </row>
    <row r="895" spans="1:7" ht="15.75">
      <c r="A895" t="str">
        <f t="shared" si="13"/>
        <v>Essertines-sur-YverdonCADCHAUFF</v>
      </c>
      <c r="B895" s="148">
        <v>5520</v>
      </c>
      <c r="C895" s="148" t="s">
        <v>643</v>
      </c>
      <c r="D895" s="148" t="s">
        <v>242</v>
      </c>
      <c r="E895" s="148">
        <v>78218</v>
      </c>
      <c r="F895" t="s">
        <v>249</v>
      </c>
      <c r="G895"/>
    </row>
    <row r="896" spans="1:7" ht="15.75">
      <c r="A896" t="str">
        <f t="shared" si="13"/>
        <v>Essertines-sur-YverdonElectricitéCHAUFF</v>
      </c>
      <c r="B896" s="148">
        <v>5520</v>
      </c>
      <c r="C896" s="148" t="s">
        <v>643</v>
      </c>
      <c r="D896" s="148" t="s">
        <v>97</v>
      </c>
      <c r="E896" s="148">
        <v>1748814.4086021297</v>
      </c>
      <c r="F896" t="s">
        <v>249</v>
      </c>
      <c r="G896"/>
    </row>
    <row r="897" spans="1:7" ht="15.75">
      <c r="A897" t="str">
        <f t="shared" si="13"/>
        <v>Essertines-sur-YverdonGazCHAUFF</v>
      </c>
      <c r="B897" s="148">
        <v>5520</v>
      </c>
      <c r="C897" s="148" t="s">
        <v>643</v>
      </c>
      <c r="D897" s="148" t="s">
        <v>239</v>
      </c>
      <c r="E897" s="148">
        <v>294288.34674921999</v>
      </c>
      <c r="F897" t="s">
        <v>249</v>
      </c>
      <c r="G897"/>
    </row>
    <row r="898" spans="1:7" ht="15.75">
      <c r="A898" t="str">
        <f t="shared" si="13"/>
        <v>Essertines-sur-YverdonMazoutCHAUFF</v>
      </c>
      <c r="B898" s="148">
        <v>5520</v>
      </c>
      <c r="C898" s="148" t="s">
        <v>643</v>
      </c>
      <c r="D898" s="148" t="s">
        <v>70</v>
      </c>
      <c r="E898" s="148">
        <v>6725111.8823529026</v>
      </c>
      <c r="F898" t="s">
        <v>249</v>
      </c>
      <c r="G898"/>
    </row>
    <row r="899" spans="1:7" ht="15.75">
      <c r="A899" t="str">
        <f t="shared" ref="A899:A962" si="14">_xlfn.CONCAT(C899,D899,F899)</f>
        <v>Essertines-sur-YverdonNon renseignéCHAUFF</v>
      </c>
      <c r="B899" s="148">
        <v>5520</v>
      </c>
      <c r="C899" s="148" t="s">
        <v>643</v>
      </c>
      <c r="D899" s="148" t="s">
        <v>696</v>
      </c>
      <c r="E899" s="148">
        <v>0</v>
      </c>
      <c r="F899" t="s">
        <v>249</v>
      </c>
      <c r="G899"/>
    </row>
    <row r="900" spans="1:7" ht="15.75">
      <c r="A900" t="str">
        <f t="shared" si="14"/>
        <v>Essertines-sur-YverdonPACCHAUFF</v>
      </c>
      <c r="B900" s="148">
        <v>5520</v>
      </c>
      <c r="C900" s="148" t="s">
        <v>643</v>
      </c>
      <c r="D900" s="148" t="s">
        <v>69</v>
      </c>
      <c r="E900" s="148">
        <v>558677.65899691998</v>
      </c>
      <c r="F900" t="s">
        <v>249</v>
      </c>
      <c r="G900"/>
    </row>
    <row r="901" spans="1:7" ht="15.75">
      <c r="A901" t="str">
        <f t="shared" si="14"/>
        <v>Essertines-sur-YverdonSolaireCHAUFF</v>
      </c>
      <c r="B901" s="148">
        <v>5520</v>
      </c>
      <c r="C901" s="148" t="s">
        <v>643</v>
      </c>
      <c r="D901" s="148" t="s">
        <v>240</v>
      </c>
      <c r="E901" s="148">
        <v>104320</v>
      </c>
      <c r="F901" t="s">
        <v>249</v>
      </c>
      <c r="G901"/>
    </row>
    <row r="902" spans="1:7" ht="15.75">
      <c r="A902" t="str">
        <f t="shared" si="14"/>
        <v>EtagnièresBoisCHAUFF</v>
      </c>
      <c r="B902" s="148">
        <v>5521</v>
      </c>
      <c r="C902" s="148" t="s">
        <v>642</v>
      </c>
      <c r="D902" s="148" t="s">
        <v>66</v>
      </c>
      <c r="E902" s="148">
        <v>201481.09019608001</v>
      </c>
      <c r="F902" t="s">
        <v>249</v>
      </c>
      <c r="G902"/>
    </row>
    <row r="903" spans="1:7" ht="15.75">
      <c r="A903" t="str">
        <f t="shared" si="14"/>
        <v>EtagnièresElectricitéCHAUFF</v>
      </c>
      <c r="B903" s="148">
        <v>5521</v>
      </c>
      <c r="C903" s="148" t="s">
        <v>642</v>
      </c>
      <c r="D903" s="148" t="s">
        <v>97</v>
      </c>
      <c r="E903" s="148">
        <v>1117161.2903225902</v>
      </c>
      <c r="F903" t="s">
        <v>249</v>
      </c>
      <c r="G903"/>
    </row>
    <row r="904" spans="1:7" ht="15.75">
      <c r="A904" t="str">
        <f t="shared" si="14"/>
        <v>EtagnièresGazCHAUFF</v>
      </c>
      <c r="B904" s="148">
        <v>5521</v>
      </c>
      <c r="C904" s="148" t="s">
        <v>642</v>
      </c>
      <c r="D904" s="148" t="s">
        <v>239</v>
      </c>
      <c r="E904" s="148">
        <v>4181489.1595046818</v>
      </c>
      <c r="F904" t="s">
        <v>249</v>
      </c>
      <c r="G904"/>
    </row>
    <row r="905" spans="1:7" ht="15.75">
      <c r="A905" t="str">
        <f t="shared" si="14"/>
        <v>EtagnièresMazoutCHAUFF</v>
      </c>
      <c r="B905" s="148">
        <v>5521</v>
      </c>
      <c r="C905" s="148" t="s">
        <v>642</v>
      </c>
      <c r="D905" s="148" t="s">
        <v>70</v>
      </c>
      <c r="E905" s="148">
        <v>4773142.8235294307</v>
      </c>
      <c r="F905" t="s">
        <v>249</v>
      </c>
      <c r="G905"/>
    </row>
    <row r="906" spans="1:7" ht="15.75">
      <c r="A906" t="str">
        <f t="shared" si="14"/>
        <v>EtagnièresNon renseignéCHAUFF</v>
      </c>
      <c r="B906" s="148">
        <v>5521</v>
      </c>
      <c r="C906" s="148" t="s">
        <v>642</v>
      </c>
      <c r="D906" s="148" t="s">
        <v>696</v>
      </c>
      <c r="E906" s="148">
        <v>0</v>
      </c>
      <c r="F906" t="s">
        <v>249</v>
      </c>
      <c r="G906"/>
    </row>
    <row r="907" spans="1:7" ht="15.75">
      <c r="A907" t="str">
        <f t="shared" si="14"/>
        <v>EtagnièresPACCHAUFF</v>
      </c>
      <c r="B907" s="148">
        <v>5521</v>
      </c>
      <c r="C907" s="148" t="s">
        <v>642</v>
      </c>
      <c r="D907" s="148" t="s">
        <v>69</v>
      </c>
      <c r="E907" s="148">
        <v>231556.40922547999</v>
      </c>
      <c r="F907" t="s">
        <v>249</v>
      </c>
      <c r="G907"/>
    </row>
    <row r="908" spans="1:7" ht="15.75">
      <c r="A908" t="str">
        <f t="shared" si="14"/>
        <v>EtagnièresSolaireCHAUFF</v>
      </c>
      <c r="B908" s="148">
        <v>5521</v>
      </c>
      <c r="C908" s="148" t="s">
        <v>642</v>
      </c>
      <c r="D908" s="148" t="s">
        <v>240</v>
      </c>
      <c r="E908" s="148" t="e">
        <v>#N/A</v>
      </c>
      <c r="F908" t="s">
        <v>249</v>
      </c>
      <c r="G908"/>
    </row>
    <row r="909" spans="1:7" ht="15.75">
      <c r="A909" t="str">
        <f t="shared" si="14"/>
        <v>EtoyBoisCHAUFF</v>
      </c>
      <c r="B909" s="148">
        <v>5636</v>
      </c>
      <c r="C909" s="148" t="s">
        <v>458</v>
      </c>
      <c r="D909" s="148" t="s">
        <v>66</v>
      </c>
      <c r="E909" s="148">
        <v>803393.89803922013</v>
      </c>
      <c r="F909" t="s">
        <v>249</v>
      </c>
      <c r="G909"/>
    </row>
    <row r="910" spans="1:7" ht="15.75">
      <c r="A910" t="str">
        <f t="shared" si="14"/>
        <v>EtoyCADCHAUFF</v>
      </c>
      <c r="B910" s="148">
        <v>5636</v>
      </c>
      <c r="C910" s="148" t="s">
        <v>458</v>
      </c>
      <c r="D910" s="148" t="s">
        <v>242</v>
      </c>
      <c r="E910" s="148">
        <v>1383665.5999999999</v>
      </c>
      <c r="F910" t="s">
        <v>249</v>
      </c>
      <c r="G910"/>
    </row>
    <row r="911" spans="1:7" ht="15.75">
      <c r="A911" t="str">
        <f t="shared" si="14"/>
        <v>EtoyElectricitéCHAUFF</v>
      </c>
      <c r="B911" s="148">
        <v>5636</v>
      </c>
      <c r="C911" s="148" t="s">
        <v>458</v>
      </c>
      <c r="D911" s="148" t="s">
        <v>97</v>
      </c>
      <c r="E911" s="148">
        <v>1446176.7741935602</v>
      </c>
      <c r="F911" t="s">
        <v>249</v>
      </c>
      <c r="G911"/>
    </row>
    <row r="912" spans="1:7" ht="15.75">
      <c r="A912" t="str">
        <f t="shared" si="14"/>
        <v>EtoyGazCHAUFF</v>
      </c>
      <c r="B912" s="148">
        <v>5636</v>
      </c>
      <c r="C912" s="148" t="s">
        <v>458</v>
      </c>
      <c r="D912" s="148" t="s">
        <v>239</v>
      </c>
      <c r="E912" s="148">
        <v>18660290.909482792</v>
      </c>
      <c r="F912" t="s">
        <v>249</v>
      </c>
      <c r="G912"/>
    </row>
    <row r="913" spans="1:7" ht="15.75">
      <c r="A913" t="str">
        <f t="shared" si="14"/>
        <v>EtoyMazoutCHAUFF</v>
      </c>
      <c r="B913" s="148">
        <v>5636</v>
      </c>
      <c r="C913" s="148" t="s">
        <v>458</v>
      </c>
      <c r="D913" s="148" t="s">
        <v>70</v>
      </c>
      <c r="E913" s="148">
        <v>8330524.4823529506</v>
      </c>
      <c r="F913" t="s">
        <v>249</v>
      </c>
      <c r="G913"/>
    </row>
    <row r="914" spans="1:7" ht="15.75">
      <c r="A914" t="str">
        <f t="shared" si="14"/>
        <v>EtoyNon renseignéCHAUFF</v>
      </c>
      <c r="B914" s="148">
        <v>5636</v>
      </c>
      <c r="C914" s="148" t="s">
        <v>458</v>
      </c>
      <c r="D914" s="148" t="s">
        <v>696</v>
      </c>
      <c r="E914" s="148">
        <v>0</v>
      </c>
      <c r="F914" t="s">
        <v>249</v>
      </c>
      <c r="G914"/>
    </row>
    <row r="915" spans="1:7" ht="15.75">
      <c r="A915" t="str">
        <f t="shared" si="14"/>
        <v>EtoyPACCHAUFF</v>
      </c>
      <c r="B915" s="148">
        <v>5636</v>
      </c>
      <c r="C915" s="148" t="s">
        <v>458</v>
      </c>
      <c r="D915" s="148" t="s">
        <v>69</v>
      </c>
      <c r="E915" s="148">
        <v>1331200.1126434798</v>
      </c>
      <c r="F915" t="s">
        <v>249</v>
      </c>
      <c r="G915"/>
    </row>
    <row r="916" spans="1:7" ht="15.75">
      <c r="A916" t="str">
        <f t="shared" si="14"/>
        <v>EtoySolaireCHAUFF</v>
      </c>
      <c r="B916" s="148">
        <v>5636</v>
      </c>
      <c r="C916" s="148" t="s">
        <v>458</v>
      </c>
      <c r="D916" s="148" t="s">
        <v>240</v>
      </c>
      <c r="E916" s="148">
        <v>19488</v>
      </c>
      <c r="F916" t="s">
        <v>249</v>
      </c>
      <c r="G916"/>
    </row>
    <row r="917" spans="1:7" ht="15.75">
      <c r="A917" t="str">
        <f t="shared" si="14"/>
        <v>EysinsBoisCHAUFF</v>
      </c>
      <c r="B917" s="148">
        <v>5716</v>
      </c>
      <c r="C917" s="148" t="s">
        <v>459</v>
      </c>
      <c r="D917" s="148" t="s">
        <v>66</v>
      </c>
      <c r="E917" s="148">
        <v>256070.65098039</v>
      </c>
      <c r="F917" t="s">
        <v>249</v>
      </c>
      <c r="G917"/>
    </row>
    <row r="918" spans="1:7" ht="15.75">
      <c r="A918" t="str">
        <f t="shared" si="14"/>
        <v>EysinsElectricitéCHAUFF</v>
      </c>
      <c r="B918" s="148">
        <v>5716</v>
      </c>
      <c r="C918" s="148" t="s">
        <v>459</v>
      </c>
      <c r="D918" s="148" t="s">
        <v>97</v>
      </c>
      <c r="E918" s="148">
        <v>1878257.7634408798</v>
      </c>
      <c r="F918" t="s">
        <v>249</v>
      </c>
      <c r="G918"/>
    </row>
    <row r="919" spans="1:7" ht="15.75">
      <c r="A919" t="str">
        <f t="shared" si="14"/>
        <v>EysinsGazCHAUFF</v>
      </c>
      <c r="B919" s="148">
        <v>5716</v>
      </c>
      <c r="C919" s="148" t="s">
        <v>459</v>
      </c>
      <c r="D919" s="148" t="s">
        <v>239</v>
      </c>
      <c r="E919" s="148">
        <v>3890769.6024767901</v>
      </c>
      <c r="F919" t="s">
        <v>249</v>
      </c>
      <c r="G919"/>
    </row>
    <row r="920" spans="1:7" ht="15.75">
      <c r="A920" t="str">
        <f t="shared" si="14"/>
        <v>EysinsMazoutCHAUFF</v>
      </c>
      <c r="B920" s="148">
        <v>5716</v>
      </c>
      <c r="C920" s="148" t="s">
        <v>459</v>
      </c>
      <c r="D920" s="148" t="s">
        <v>70</v>
      </c>
      <c r="E920" s="148">
        <v>6309643.7764705997</v>
      </c>
      <c r="F920" t="s">
        <v>249</v>
      </c>
      <c r="G920"/>
    </row>
    <row r="921" spans="1:7" ht="15.75">
      <c r="A921" t="str">
        <f t="shared" si="14"/>
        <v>EysinsNon renseignéCHAUFF</v>
      </c>
      <c r="B921" s="148">
        <v>5716</v>
      </c>
      <c r="C921" s="148" t="s">
        <v>459</v>
      </c>
      <c r="D921" s="148" t="s">
        <v>696</v>
      </c>
      <c r="E921" s="148">
        <v>0</v>
      </c>
      <c r="F921" t="s">
        <v>249</v>
      </c>
      <c r="G921"/>
    </row>
    <row r="922" spans="1:7" ht="15.75">
      <c r="A922" t="str">
        <f t="shared" si="14"/>
        <v>EysinsPACCHAUFF</v>
      </c>
      <c r="B922" s="148">
        <v>5716</v>
      </c>
      <c r="C922" s="148" t="s">
        <v>459</v>
      </c>
      <c r="D922" s="148" t="s">
        <v>69</v>
      </c>
      <c r="E922" s="148">
        <v>640070.16778343997</v>
      </c>
      <c r="F922" t="s">
        <v>249</v>
      </c>
      <c r="G922"/>
    </row>
    <row r="923" spans="1:7" ht="15.75">
      <c r="A923" t="str">
        <f t="shared" si="14"/>
        <v>EysinsSolaireCHAUFF</v>
      </c>
      <c r="B923" s="148">
        <v>5716</v>
      </c>
      <c r="C923" s="148" t="s">
        <v>459</v>
      </c>
      <c r="D923" s="148" t="s">
        <v>240</v>
      </c>
      <c r="E923" s="148">
        <v>6133.6</v>
      </c>
      <c r="F923" t="s">
        <v>249</v>
      </c>
      <c r="G923"/>
    </row>
    <row r="924" spans="1:7" ht="15.75">
      <c r="A924" t="str">
        <f t="shared" si="14"/>
        <v>FaougBoisCHAUFF</v>
      </c>
      <c r="B924" s="148">
        <v>5458</v>
      </c>
      <c r="C924" s="148" t="s">
        <v>460</v>
      </c>
      <c r="D924" s="148" t="s">
        <v>66</v>
      </c>
      <c r="E924" s="148">
        <v>788698.22745097999</v>
      </c>
      <c r="F924" t="s">
        <v>249</v>
      </c>
      <c r="G924"/>
    </row>
    <row r="925" spans="1:7" ht="15.75">
      <c r="A925" t="str">
        <f t="shared" si="14"/>
        <v>FaougElectricitéCHAUFF</v>
      </c>
      <c r="B925" s="148">
        <v>5458</v>
      </c>
      <c r="C925" s="148" t="s">
        <v>460</v>
      </c>
      <c r="D925" s="148" t="s">
        <v>97</v>
      </c>
      <c r="E925" s="148">
        <v>1321837.6344086195</v>
      </c>
      <c r="F925" t="s">
        <v>249</v>
      </c>
      <c r="G925"/>
    </row>
    <row r="926" spans="1:7" ht="15.75">
      <c r="A926" t="str">
        <f t="shared" si="14"/>
        <v>FaougGazCHAUFF</v>
      </c>
      <c r="B926" s="148">
        <v>5458</v>
      </c>
      <c r="C926" s="148" t="s">
        <v>460</v>
      </c>
      <c r="D926" s="148" t="s">
        <v>239</v>
      </c>
      <c r="E926" s="148">
        <v>488130.73312690994</v>
      </c>
      <c r="F926" t="s">
        <v>249</v>
      </c>
      <c r="G926"/>
    </row>
    <row r="927" spans="1:7" ht="15.75">
      <c r="A927" t="str">
        <f t="shared" si="14"/>
        <v>FaougMazoutCHAUFF</v>
      </c>
      <c r="B927" s="148">
        <v>5458</v>
      </c>
      <c r="C927" s="148" t="s">
        <v>460</v>
      </c>
      <c r="D927" s="148" t="s">
        <v>70</v>
      </c>
      <c r="E927" s="148">
        <v>5301832.7941177133</v>
      </c>
      <c r="F927" t="s">
        <v>249</v>
      </c>
      <c r="G927"/>
    </row>
    <row r="928" spans="1:7" ht="15.75">
      <c r="A928" t="str">
        <f t="shared" si="14"/>
        <v>FaougNon renseignéCHAUFF</v>
      </c>
      <c r="B928" s="148">
        <v>5458</v>
      </c>
      <c r="C928" s="148" t="s">
        <v>460</v>
      </c>
      <c r="D928" s="148" t="s">
        <v>696</v>
      </c>
      <c r="E928" s="148">
        <v>0</v>
      </c>
      <c r="F928" t="s">
        <v>249</v>
      </c>
      <c r="G928"/>
    </row>
    <row r="929" spans="1:7" ht="15.75">
      <c r="A929" t="str">
        <f t="shared" si="14"/>
        <v>FaougPACCHAUFF</v>
      </c>
      <c r="B929" s="148">
        <v>5458</v>
      </c>
      <c r="C929" s="148" t="s">
        <v>460</v>
      </c>
      <c r="D929" s="148" t="s">
        <v>69</v>
      </c>
      <c r="E929" s="148">
        <v>856351.46259936015</v>
      </c>
      <c r="F929" t="s">
        <v>249</v>
      </c>
      <c r="G929"/>
    </row>
    <row r="930" spans="1:7" ht="15.75">
      <c r="A930" t="str">
        <f t="shared" si="14"/>
        <v>FaougSolaireCHAUFF</v>
      </c>
      <c r="B930" s="148">
        <v>5458</v>
      </c>
      <c r="C930" s="148" t="s">
        <v>460</v>
      </c>
      <c r="D930" s="148" t="s">
        <v>240</v>
      </c>
      <c r="E930" s="148">
        <v>14300</v>
      </c>
      <c r="F930" t="s">
        <v>249</v>
      </c>
      <c r="G930"/>
    </row>
    <row r="931" spans="1:7" ht="15.75">
      <c r="A931" t="str">
        <f t="shared" si="14"/>
        <v>FaougAutre agent énergétiqueCHAUFF</v>
      </c>
      <c r="B931" s="148">
        <v>5458</v>
      </c>
      <c r="C931" s="148" t="s">
        <v>460</v>
      </c>
      <c r="D931" s="148" t="s">
        <v>245</v>
      </c>
      <c r="E931" s="148" t="e">
        <v>#N/A</v>
      </c>
      <c r="F931" t="s">
        <v>249</v>
      </c>
      <c r="G931"/>
    </row>
    <row r="932" spans="1:7" ht="15.75">
      <c r="A932" t="str">
        <f t="shared" si="14"/>
        <v>FaougCADCHAUFF</v>
      </c>
      <c r="B932" s="148">
        <v>5458</v>
      </c>
      <c r="C932" s="148" t="s">
        <v>460</v>
      </c>
      <c r="D932" s="148" t="s">
        <v>242</v>
      </c>
      <c r="E932" s="148" t="e">
        <v>#N/A</v>
      </c>
      <c r="F932" t="s">
        <v>249</v>
      </c>
      <c r="G932"/>
    </row>
    <row r="933" spans="1:7" ht="15.75">
      <c r="A933" t="str">
        <f t="shared" si="14"/>
        <v>FéchyAutre agent énergétiqueCHAUFF</v>
      </c>
      <c r="B933" s="148">
        <v>5427</v>
      </c>
      <c r="C933" s="148" t="s">
        <v>686</v>
      </c>
      <c r="D933" s="148" t="s">
        <v>245</v>
      </c>
      <c r="E933" s="148">
        <v>63250.200000000004</v>
      </c>
      <c r="F933" t="s">
        <v>249</v>
      </c>
      <c r="G933"/>
    </row>
    <row r="934" spans="1:7" ht="15.75">
      <c r="A934" t="str">
        <f t="shared" si="14"/>
        <v>FéchyBoisCHAUFF</v>
      </c>
      <c r="B934" s="148">
        <v>5427</v>
      </c>
      <c r="C934" s="148" t="s">
        <v>686</v>
      </c>
      <c r="D934" s="148" t="s">
        <v>66</v>
      </c>
      <c r="E934" s="148">
        <v>523090.02666665998</v>
      </c>
      <c r="F934" t="s">
        <v>249</v>
      </c>
      <c r="G934"/>
    </row>
    <row r="935" spans="1:7" ht="15.75">
      <c r="A935" t="str">
        <f t="shared" si="14"/>
        <v>FéchyElectricitéCHAUFF</v>
      </c>
      <c r="B935" s="148">
        <v>5427</v>
      </c>
      <c r="C935" s="148" t="s">
        <v>686</v>
      </c>
      <c r="D935" s="148" t="s">
        <v>97</v>
      </c>
      <c r="E935" s="148">
        <v>703208.76344086998</v>
      </c>
      <c r="F935" t="s">
        <v>249</v>
      </c>
      <c r="G935"/>
    </row>
    <row r="936" spans="1:7" ht="15.75">
      <c r="A936" t="str">
        <f t="shared" si="14"/>
        <v>FéchyGazCHAUFF</v>
      </c>
      <c r="B936" s="148">
        <v>5427</v>
      </c>
      <c r="C936" s="148" t="s">
        <v>686</v>
      </c>
      <c r="D936" s="148" t="s">
        <v>239</v>
      </c>
      <c r="E936" s="148">
        <v>4772696.3343653511</v>
      </c>
      <c r="F936" t="s">
        <v>249</v>
      </c>
      <c r="G936"/>
    </row>
    <row r="937" spans="1:7" ht="15.75">
      <c r="A937" t="str">
        <f t="shared" si="14"/>
        <v>FéchyMazoutCHAUFF</v>
      </c>
      <c r="B937" s="148">
        <v>5427</v>
      </c>
      <c r="C937" s="148" t="s">
        <v>686</v>
      </c>
      <c r="D937" s="148" t="s">
        <v>70</v>
      </c>
      <c r="E937" s="148">
        <v>3829291.0823529488</v>
      </c>
      <c r="F937" t="s">
        <v>249</v>
      </c>
      <c r="G937"/>
    </row>
    <row r="938" spans="1:7" ht="15.75">
      <c r="A938" t="str">
        <f t="shared" si="14"/>
        <v>FéchyNon renseignéCHAUFF</v>
      </c>
      <c r="B938" s="148">
        <v>5427</v>
      </c>
      <c r="C938" s="148" t="s">
        <v>686</v>
      </c>
      <c r="D938" s="148" t="s">
        <v>696</v>
      </c>
      <c r="E938" s="148">
        <v>0</v>
      </c>
      <c r="F938" t="s">
        <v>249</v>
      </c>
      <c r="G938"/>
    </row>
    <row r="939" spans="1:7" ht="15.75">
      <c r="A939" t="str">
        <f t="shared" si="14"/>
        <v>FéchyPACCHAUFF</v>
      </c>
      <c r="B939" s="148">
        <v>5427</v>
      </c>
      <c r="C939" s="148" t="s">
        <v>686</v>
      </c>
      <c r="D939" s="148" t="s">
        <v>69</v>
      </c>
      <c r="E939" s="148">
        <v>575875.75745818007</v>
      </c>
      <c r="F939" t="s">
        <v>249</v>
      </c>
      <c r="G939"/>
    </row>
    <row r="940" spans="1:7" ht="15.75">
      <c r="A940" t="str">
        <f t="shared" si="14"/>
        <v>FéchySolaireCHAUFF</v>
      </c>
      <c r="B940" s="148">
        <v>5427</v>
      </c>
      <c r="C940" s="148" t="s">
        <v>686</v>
      </c>
      <c r="D940" s="148" t="s">
        <v>240</v>
      </c>
      <c r="E940" s="148" t="e">
        <v>#N/A</v>
      </c>
      <c r="F940" t="s">
        <v>249</v>
      </c>
      <c r="G940"/>
    </row>
    <row r="941" spans="1:7" ht="15.75">
      <c r="A941" t="str">
        <f t="shared" si="14"/>
        <v>FerreyresBoisCHAUFF</v>
      </c>
      <c r="B941" s="148">
        <v>5483</v>
      </c>
      <c r="C941" s="148" t="s">
        <v>243</v>
      </c>
      <c r="D941" s="148" t="s">
        <v>66</v>
      </c>
      <c r="E941" s="148">
        <v>699637.54509804002</v>
      </c>
      <c r="F941" t="s">
        <v>249</v>
      </c>
      <c r="G941"/>
    </row>
    <row r="942" spans="1:7" ht="15.75">
      <c r="A942" t="str">
        <f t="shared" si="14"/>
        <v>FerreyresElectricitéCHAUFF</v>
      </c>
      <c r="B942" s="148">
        <v>5483</v>
      </c>
      <c r="C942" s="148" t="s">
        <v>243</v>
      </c>
      <c r="D942" s="148" t="s">
        <v>97</v>
      </c>
      <c r="E942" s="148">
        <v>557436.55913980003</v>
      </c>
      <c r="F942" t="s">
        <v>249</v>
      </c>
      <c r="G942"/>
    </row>
    <row r="943" spans="1:7" ht="15.75">
      <c r="A943" t="str">
        <f t="shared" si="14"/>
        <v>FerreyresGazCHAUFF</v>
      </c>
      <c r="B943" s="148">
        <v>5483</v>
      </c>
      <c r="C943" s="148" t="s">
        <v>243</v>
      </c>
      <c r="D943" s="148" t="s">
        <v>239</v>
      </c>
      <c r="E943" s="148">
        <v>1343474.4597523101</v>
      </c>
      <c r="F943" t="s">
        <v>249</v>
      </c>
      <c r="G943"/>
    </row>
    <row r="944" spans="1:7" ht="15.75">
      <c r="A944" t="str">
        <f t="shared" si="14"/>
        <v>FerreyresMazoutCHAUFF</v>
      </c>
      <c r="B944" s="148">
        <v>5483</v>
      </c>
      <c r="C944" s="148" t="s">
        <v>243</v>
      </c>
      <c r="D944" s="148" t="s">
        <v>70</v>
      </c>
      <c r="E944" s="148">
        <v>382273.41176470998</v>
      </c>
      <c r="F944" t="s">
        <v>249</v>
      </c>
      <c r="G944"/>
    </row>
    <row r="945" spans="1:7" ht="15.75">
      <c r="A945" t="str">
        <f t="shared" si="14"/>
        <v>FerreyresNon renseignéCHAUFF</v>
      </c>
      <c r="B945" s="148">
        <v>5483</v>
      </c>
      <c r="C945" s="148" t="s">
        <v>243</v>
      </c>
      <c r="D945" s="148" t="s">
        <v>696</v>
      </c>
      <c r="E945" s="148">
        <v>0</v>
      </c>
      <c r="F945" t="s">
        <v>249</v>
      </c>
      <c r="G945"/>
    </row>
    <row r="946" spans="1:7" ht="15.75">
      <c r="A946" t="str">
        <f t="shared" si="14"/>
        <v>FerreyresPACCHAUFF</v>
      </c>
      <c r="B946" s="148">
        <v>5483</v>
      </c>
      <c r="C946" s="148" t="s">
        <v>243</v>
      </c>
      <c r="D946" s="148" t="s">
        <v>69</v>
      </c>
      <c r="E946" s="148">
        <v>162783.11111114</v>
      </c>
      <c r="F946" t="s">
        <v>249</v>
      </c>
      <c r="G946"/>
    </row>
    <row r="947" spans="1:7" ht="15.75">
      <c r="A947" t="str">
        <f t="shared" si="14"/>
        <v>FerreyresSolaireCHAUFF</v>
      </c>
      <c r="B947" s="148">
        <v>5483</v>
      </c>
      <c r="C947" s="148" t="s">
        <v>243</v>
      </c>
      <c r="D947" s="148" t="s">
        <v>240</v>
      </c>
      <c r="E947" s="148" t="e">
        <v>#N/A</v>
      </c>
      <c r="F947" t="s">
        <v>249</v>
      </c>
      <c r="G947"/>
    </row>
    <row r="948" spans="1:7" ht="15.75">
      <c r="A948" t="str">
        <f t="shared" si="14"/>
        <v>FeyBoisCHAUFF</v>
      </c>
      <c r="B948" s="148">
        <v>5522</v>
      </c>
      <c r="C948" s="148" t="s">
        <v>461</v>
      </c>
      <c r="D948" s="148" t="s">
        <v>66</v>
      </c>
      <c r="E948" s="148">
        <v>2186794.8666666704</v>
      </c>
      <c r="F948" t="s">
        <v>249</v>
      </c>
      <c r="G948"/>
    </row>
    <row r="949" spans="1:7" ht="15.75">
      <c r="A949" t="str">
        <f t="shared" si="14"/>
        <v>FeyCADCHAUFF</v>
      </c>
      <c r="B949" s="148">
        <v>5522</v>
      </c>
      <c r="C949" s="148" t="s">
        <v>461</v>
      </c>
      <c r="D949" s="148" t="s">
        <v>242</v>
      </c>
      <c r="E949" s="148">
        <v>3248</v>
      </c>
      <c r="F949" t="s">
        <v>249</v>
      </c>
      <c r="G949"/>
    </row>
    <row r="950" spans="1:7" ht="15.75">
      <c r="A950" t="str">
        <f t="shared" si="14"/>
        <v>FeyElectricitéCHAUFF</v>
      </c>
      <c r="B950" s="148">
        <v>5522</v>
      </c>
      <c r="C950" s="148" t="s">
        <v>461</v>
      </c>
      <c r="D950" s="148" t="s">
        <v>97</v>
      </c>
      <c r="E950" s="148">
        <v>1196787.9569892399</v>
      </c>
      <c r="F950" t="s">
        <v>249</v>
      </c>
      <c r="G950"/>
    </row>
    <row r="951" spans="1:7" ht="15.75">
      <c r="A951" t="str">
        <f t="shared" si="14"/>
        <v>FeyGazCHAUFF</v>
      </c>
      <c r="B951" s="148">
        <v>5522</v>
      </c>
      <c r="C951" s="148" t="s">
        <v>461</v>
      </c>
      <c r="D951" s="148" t="s">
        <v>239</v>
      </c>
      <c r="E951" s="148">
        <v>553903.55417955993</v>
      </c>
      <c r="F951" t="s">
        <v>249</v>
      </c>
      <c r="G951"/>
    </row>
    <row r="952" spans="1:7" ht="15.75">
      <c r="A952" t="str">
        <f t="shared" si="14"/>
        <v>FeyMazoutCHAUFF</v>
      </c>
      <c r="B952" s="148">
        <v>5522</v>
      </c>
      <c r="C952" s="148" t="s">
        <v>461</v>
      </c>
      <c r="D952" s="148" t="s">
        <v>70</v>
      </c>
      <c r="E952" s="148">
        <v>3560686.2381383711</v>
      </c>
      <c r="F952" t="s">
        <v>249</v>
      </c>
      <c r="G952"/>
    </row>
    <row r="953" spans="1:7" ht="15.75">
      <c r="A953" t="str">
        <f t="shared" si="14"/>
        <v>FeyNon renseignéCHAUFF</v>
      </c>
      <c r="B953" s="148">
        <v>5522</v>
      </c>
      <c r="C953" s="148" t="s">
        <v>461</v>
      </c>
      <c r="D953" s="148" t="s">
        <v>696</v>
      </c>
      <c r="E953" s="148">
        <v>0</v>
      </c>
      <c r="F953" t="s">
        <v>249</v>
      </c>
      <c r="G953"/>
    </row>
    <row r="954" spans="1:7" ht="15.75">
      <c r="A954" t="str">
        <f t="shared" si="14"/>
        <v>FeyPACCHAUFF</v>
      </c>
      <c r="B954" s="148">
        <v>5522</v>
      </c>
      <c r="C954" s="148" t="s">
        <v>461</v>
      </c>
      <c r="D954" s="148" t="s">
        <v>69</v>
      </c>
      <c r="E954" s="148">
        <v>276453.90848269995</v>
      </c>
      <c r="F954" t="s">
        <v>249</v>
      </c>
      <c r="G954"/>
    </row>
    <row r="955" spans="1:7" ht="15.75">
      <c r="A955" t="str">
        <f t="shared" si="14"/>
        <v>FeySolaireCHAUFF</v>
      </c>
      <c r="B955" s="148">
        <v>5522</v>
      </c>
      <c r="C955" s="148" t="s">
        <v>461</v>
      </c>
      <c r="D955" s="148" t="s">
        <v>240</v>
      </c>
      <c r="E955" s="148" t="e">
        <v>#N/A</v>
      </c>
      <c r="F955" t="s">
        <v>249</v>
      </c>
      <c r="G955"/>
    </row>
    <row r="956" spans="1:7" ht="15.75">
      <c r="A956" t="str">
        <f t="shared" si="14"/>
        <v>FiezBoisCHAUFF</v>
      </c>
      <c r="B956" s="148">
        <v>5556</v>
      </c>
      <c r="C956" s="148" t="s">
        <v>462</v>
      </c>
      <c r="D956" s="148" t="s">
        <v>66</v>
      </c>
      <c r="E956" s="148">
        <v>761659.81176472001</v>
      </c>
      <c r="F956" t="s">
        <v>249</v>
      </c>
      <c r="G956"/>
    </row>
    <row r="957" spans="1:7" ht="15.75">
      <c r="A957" t="str">
        <f t="shared" si="14"/>
        <v>FiezCADCHAUFF</v>
      </c>
      <c r="B957" s="148">
        <v>5556</v>
      </c>
      <c r="C957" s="148" t="s">
        <v>462</v>
      </c>
      <c r="D957" s="148" t="s">
        <v>242</v>
      </c>
      <c r="E957" s="148">
        <v>40652.800000000003</v>
      </c>
      <c r="F957" t="s">
        <v>249</v>
      </c>
      <c r="G957"/>
    </row>
    <row r="958" spans="1:7" ht="15.75">
      <c r="A958" t="str">
        <f t="shared" si="14"/>
        <v>FiezElectricitéCHAUFF</v>
      </c>
      <c r="B958" s="148">
        <v>5556</v>
      </c>
      <c r="C958" s="148" t="s">
        <v>462</v>
      </c>
      <c r="D958" s="148" t="s">
        <v>97</v>
      </c>
      <c r="E958" s="148">
        <v>515159.35483871005</v>
      </c>
      <c r="F958" t="s">
        <v>249</v>
      </c>
      <c r="G958"/>
    </row>
    <row r="959" spans="1:7" ht="15.75">
      <c r="A959" t="str">
        <f t="shared" si="14"/>
        <v>FiezMazoutCHAUFF</v>
      </c>
      <c r="B959" s="148">
        <v>5556</v>
      </c>
      <c r="C959" s="148" t="s">
        <v>462</v>
      </c>
      <c r="D959" s="148" t="s">
        <v>70</v>
      </c>
      <c r="E959" s="148">
        <v>2891988.8823529505</v>
      </c>
      <c r="F959" t="s">
        <v>249</v>
      </c>
      <c r="G959"/>
    </row>
    <row r="960" spans="1:7" ht="15.75">
      <c r="A960" t="str">
        <f t="shared" si="14"/>
        <v>FiezNon renseignéCHAUFF</v>
      </c>
      <c r="B960" s="148">
        <v>5556</v>
      </c>
      <c r="C960" s="148" t="s">
        <v>462</v>
      </c>
      <c r="D960" s="148" t="s">
        <v>696</v>
      </c>
      <c r="E960" s="148">
        <v>0</v>
      </c>
      <c r="F960" t="s">
        <v>249</v>
      </c>
      <c r="G960"/>
    </row>
    <row r="961" spans="1:7" ht="15.75">
      <c r="A961" t="str">
        <f t="shared" si="14"/>
        <v>FiezPACCHAUFF</v>
      </c>
      <c r="B961" s="148">
        <v>5556</v>
      </c>
      <c r="C961" s="148" t="s">
        <v>462</v>
      </c>
      <c r="D961" s="148" t="s">
        <v>69</v>
      </c>
      <c r="E961" s="148">
        <v>463303.32440394</v>
      </c>
      <c r="F961" t="s">
        <v>249</v>
      </c>
      <c r="G961"/>
    </row>
    <row r="962" spans="1:7" ht="15.75">
      <c r="A962" t="str">
        <f t="shared" si="14"/>
        <v>FiezSolaireCHAUFF</v>
      </c>
      <c r="B962" s="148">
        <v>5556</v>
      </c>
      <c r="C962" s="148" t="s">
        <v>462</v>
      </c>
      <c r="D962" s="148" t="s">
        <v>240</v>
      </c>
      <c r="E962" s="148" t="e">
        <v>#N/A</v>
      </c>
      <c r="F962" t="s">
        <v>249</v>
      </c>
      <c r="G962"/>
    </row>
    <row r="963" spans="1:7" ht="15.75">
      <c r="A963" t="str">
        <f t="shared" ref="A963:A1026" si="15">_xlfn.CONCAT(C963,D963,F963)</f>
        <v>Fontaines-sur-GrandsonBoisCHAUFF</v>
      </c>
      <c r="B963" s="148">
        <v>5557</v>
      </c>
      <c r="C963" s="148" t="s">
        <v>641</v>
      </c>
      <c r="D963" s="148" t="s">
        <v>66</v>
      </c>
      <c r="E963" s="148">
        <v>375083.2</v>
      </c>
      <c r="F963" t="s">
        <v>249</v>
      </c>
      <c r="G963"/>
    </row>
    <row r="964" spans="1:7" ht="15.75">
      <c r="A964" t="str">
        <f t="shared" si="15"/>
        <v>Fontaines-sur-GrandsonElectricitéCHAUFF</v>
      </c>
      <c r="B964" s="148">
        <v>5557</v>
      </c>
      <c r="C964" s="148" t="s">
        <v>641</v>
      </c>
      <c r="D964" s="148" t="s">
        <v>97</v>
      </c>
      <c r="E964" s="148">
        <v>272839.13978495001</v>
      </c>
      <c r="F964" t="s">
        <v>249</v>
      </c>
      <c r="G964"/>
    </row>
    <row r="965" spans="1:7" ht="15.75">
      <c r="A965" t="str">
        <f t="shared" si="15"/>
        <v>Fontaines-sur-GrandsonGazCHAUFF</v>
      </c>
      <c r="B965" s="148">
        <v>5557</v>
      </c>
      <c r="C965" s="148" t="s">
        <v>641</v>
      </c>
      <c r="D965" s="148" t="s">
        <v>239</v>
      </c>
      <c r="E965" s="148">
        <v>54561.882352940003</v>
      </c>
      <c r="F965" t="s">
        <v>249</v>
      </c>
      <c r="G965"/>
    </row>
    <row r="966" spans="1:7" ht="15.75">
      <c r="A966" t="str">
        <f t="shared" si="15"/>
        <v>Fontaines-sur-GrandsonMazoutCHAUFF</v>
      </c>
      <c r="B966" s="148">
        <v>5557</v>
      </c>
      <c r="C966" s="148" t="s">
        <v>641</v>
      </c>
      <c r="D966" s="148" t="s">
        <v>70</v>
      </c>
      <c r="E966" s="148">
        <v>1718766.8235293999</v>
      </c>
      <c r="F966" t="s">
        <v>249</v>
      </c>
      <c r="G966"/>
    </row>
    <row r="967" spans="1:7" ht="15.75">
      <c r="A967" t="str">
        <f t="shared" si="15"/>
        <v>Fontaines-sur-GrandsonNon renseignéCHAUFF</v>
      </c>
      <c r="B967" s="148">
        <v>5557</v>
      </c>
      <c r="C967" s="148" t="s">
        <v>641</v>
      </c>
      <c r="D967" s="148" t="s">
        <v>696</v>
      </c>
      <c r="E967" s="148">
        <v>0</v>
      </c>
      <c r="F967" t="s">
        <v>249</v>
      </c>
      <c r="G967"/>
    </row>
    <row r="968" spans="1:7" ht="15.75">
      <c r="A968" t="str">
        <f t="shared" si="15"/>
        <v>Fontaines-sur-GrandsonPACCHAUFF</v>
      </c>
      <c r="B968" s="148">
        <v>5557</v>
      </c>
      <c r="C968" s="148" t="s">
        <v>641</v>
      </c>
      <c r="D968" s="148" t="s">
        <v>69</v>
      </c>
      <c r="E968" s="148">
        <v>120037.95491142999</v>
      </c>
      <c r="F968" t="s">
        <v>249</v>
      </c>
      <c r="G968"/>
    </row>
    <row r="969" spans="1:7" ht="15.75">
      <c r="A969" t="str">
        <f t="shared" si="15"/>
        <v>Fontaines-sur-GrandsonSolaireCHAUFF</v>
      </c>
      <c r="B969" s="148">
        <v>5557</v>
      </c>
      <c r="C969" s="148" t="s">
        <v>641</v>
      </c>
      <c r="D969" s="148" t="s">
        <v>240</v>
      </c>
      <c r="E969" s="148" t="e">
        <v>#N/A</v>
      </c>
      <c r="F969" t="s">
        <v>249</v>
      </c>
      <c r="G969"/>
    </row>
    <row r="970" spans="1:7" ht="15.75">
      <c r="A970" t="str">
        <f t="shared" si="15"/>
        <v>Forel (Lavaux)Autre agent énergétiqueCHAUFF</v>
      </c>
      <c r="B970" s="148">
        <v>5604</v>
      </c>
      <c r="C970" s="148" t="s">
        <v>463</v>
      </c>
      <c r="D970" s="148" t="s">
        <v>245</v>
      </c>
      <c r="E970" s="148">
        <v>274036</v>
      </c>
      <c r="F970" t="s">
        <v>249</v>
      </c>
      <c r="G970"/>
    </row>
    <row r="971" spans="1:7" ht="15.75">
      <c r="A971" t="str">
        <f t="shared" si="15"/>
        <v>Forel (Lavaux)BoisCHAUFF</v>
      </c>
      <c r="B971" s="148">
        <v>5604</v>
      </c>
      <c r="C971" s="148" t="s">
        <v>463</v>
      </c>
      <c r="D971" s="148" t="s">
        <v>66</v>
      </c>
      <c r="E971" s="148">
        <v>6091222.1835294142</v>
      </c>
      <c r="F971" t="s">
        <v>249</v>
      </c>
      <c r="G971"/>
    </row>
    <row r="972" spans="1:7" ht="15.75">
      <c r="A972" t="str">
        <f t="shared" si="15"/>
        <v>Forel (Lavaux)CADCHAUFF</v>
      </c>
      <c r="B972" s="148">
        <v>5604</v>
      </c>
      <c r="C972" s="148" t="s">
        <v>463</v>
      </c>
      <c r="D972" s="148" t="s">
        <v>242</v>
      </c>
      <c r="E972" s="148">
        <v>13876.800000000001</v>
      </c>
      <c r="F972" t="s">
        <v>249</v>
      </c>
      <c r="G972"/>
    </row>
    <row r="973" spans="1:7" ht="15.75">
      <c r="A973" t="str">
        <f t="shared" si="15"/>
        <v>Forel (Lavaux)CharbonCHAUFF</v>
      </c>
      <c r="B973" s="148">
        <v>5604</v>
      </c>
      <c r="C973" s="148" t="s">
        <v>463</v>
      </c>
      <c r="D973" s="148" t="s">
        <v>695</v>
      </c>
      <c r="E973" s="148" t="e">
        <v>#N/A</v>
      </c>
      <c r="F973" t="s">
        <v>249</v>
      </c>
      <c r="G973"/>
    </row>
    <row r="974" spans="1:7" ht="15.75">
      <c r="A974" t="str">
        <f t="shared" si="15"/>
        <v>Forel (Lavaux)ElectricitéCHAUFF</v>
      </c>
      <c r="B974" s="148">
        <v>5604</v>
      </c>
      <c r="C974" s="148" t="s">
        <v>463</v>
      </c>
      <c r="D974" s="148" t="s">
        <v>97</v>
      </c>
      <c r="E974" s="148">
        <v>2940432.7204301008</v>
      </c>
      <c r="F974" t="s">
        <v>249</v>
      </c>
      <c r="G974"/>
    </row>
    <row r="975" spans="1:7" ht="15.75">
      <c r="A975" t="str">
        <f t="shared" si="15"/>
        <v>Forel (Lavaux)GazCHAUFF</v>
      </c>
      <c r="B975" s="148">
        <v>5604</v>
      </c>
      <c r="C975" s="148" t="s">
        <v>463</v>
      </c>
      <c r="D975" s="148" t="s">
        <v>239</v>
      </c>
      <c r="E975" s="148">
        <v>4949238.0546749299</v>
      </c>
      <c r="F975" t="s">
        <v>249</v>
      </c>
      <c r="G975"/>
    </row>
    <row r="976" spans="1:7" ht="15.75">
      <c r="A976" t="str">
        <f t="shared" si="15"/>
        <v>Forel (Lavaux)MazoutCHAUFF</v>
      </c>
      <c r="B976" s="148">
        <v>5604</v>
      </c>
      <c r="C976" s="148" t="s">
        <v>463</v>
      </c>
      <c r="D976" s="148" t="s">
        <v>70</v>
      </c>
      <c r="E976" s="148">
        <v>16187210.094117688</v>
      </c>
      <c r="F976" t="s">
        <v>249</v>
      </c>
      <c r="G976"/>
    </row>
    <row r="977" spans="1:7" ht="15.75">
      <c r="A977" t="str">
        <f t="shared" si="15"/>
        <v>Forel (Lavaux)Non renseignéCHAUFF</v>
      </c>
      <c r="B977" s="148">
        <v>5604</v>
      </c>
      <c r="C977" s="148" t="s">
        <v>463</v>
      </c>
      <c r="D977" s="148" t="s">
        <v>696</v>
      </c>
      <c r="E977" s="148">
        <v>0</v>
      </c>
      <c r="F977" t="s">
        <v>249</v>
      </c>
      <c r="G977"/>
    </row>
    <row r="978" spans="1:7" ht="15.75">
      <c r="A978" t="str">
        <f t="shared" si="15"/>
        <v>Forel (Lavaux)PACCHAUFF</v>
      </c>
      <c r="B978" s="148">
        <v>5604</v>
      </c>
      <c r="C978" s="148" t="s">
        <v>463</v>
      </c>
      <c r="D978" s="148" t="s">
        <v>69</v>
      </c>
      <c r="E978" s="148">
        <v>376528.55133991007</v>
      </c>
      <c r="F978" t="s">
        <v>249</v>
      </c>
      <c r="G978"/>
    </row>
    <row r="979" spans="1:7" ht="15.75">
      <c r="A979" t="str">
        <f t="shared" si="15"/>
        <v>Forel (Lavaux)SolaireCHAUFF</v>
      </c>
      <c r="B979" s="148">
        <v>5604</v>
      </c>
      <c r="C979" s="148" t="s">
        <v>463</v>
      </c>
      <c r="D979" s="148" t="s">
        <v>240</v>
      </c>
      <c r="E979" s="148" t="e">
        <v>#N/A</v>
      </c>
      <c r="F979" t="s">
        <v>249</v>
      </c>
      <c r="G979"/>
    </row>
    <row r="980" spans="1:7" ht="15.75">
      <c r="A980" t="str">
        <f t="shared" si="15"/>
        <v>FounexAutre agent énergétiqueCHAUFF</v>
      </c>
      <c r="B980" s="148">
        <v>5717</v>
      </c>
      <c r="C980" s="148" t="s">
        <v>464</v>
      </c>
      <c r="D980" s="148" t="s">
        <v>245</v>
      </c>
      <c r="E980" s="148">
        <v>3659.2941176499999</v>
      </c>
      <c r="F980" t="s">
        <v>249</v>
      </c>
      <c r="G980"/>
    </row>
    <row r="981" spans="1:7" ht="15.75">
      <c r="A981" t="str">
        <f t="shared" si="15"/>
        <v>FounexBoisCHAUFF</v>
      </c>
      <c r="B981" s="148">
        <v>5717</v>
      </c>
      <c r="C981" s="148" t="s">
        <v>464</v>
      </c>
      <c r="D981" s="148" t="s">
        <v>66</v>
      </c>
      <c r="E981" s="148">
        <v>2959085.2549019605</v>
      </c>
      <c r="F981" t="s">
        <v>249</v>
      </c>
      <c r="G981"/>
    </row>
    <row r="982" spans="1:7" ht="15.75">
      <c r="A982" t="str">
        <f t="shared" si="15"/>
        <v>FounexCADCHAUFF</v>
      </c>
      <c r="B982" s="148">
        <v>5717</v>
      </c>
      <c r="C982" s="148" t="s">
        <v>464</v>
      </c>
      <c r="D982" s="148" t="s">
        <v>242</v>
      </c>
      <c r="E982" s="148">
        <v>334639.76</v>
      </c>
      <c r="F982" t="s">
        <v>249</v>
      </c>
      <c r="G982"/>
    </row>
    <row r="983" spans="1:7" ht="15.75">
      <c r="A983" t="str">
        <f t="shared" si="15"/>
        <v>FounexElectricitéCHAUFF</v>
      </c>
      <c r="B983" s="148">
        <v>5717</v>
      </c>
      <c r="C983" s="148" t="s">
        <v>464</v>
      </c>
      <c r="D983" s="148" t="s">
        <v>97</v>
      </c>
      <c r="E983" s="148">
        <v>5727467.8172043394</v>
      </c>
      <c r="F983" t="s">
        <v>249</v>
      </c>
      <c r="G983"/>
    </row>
    <row r="984" spans="1:7" ht="15.75">
      <c r="A984" t="str">
        <f t="shared" si="15"/>
        <v>FounexGazCHAUFF</v>
      </c>
      <c r="B984" s="148">
        <v>5717</v>
      </c>
      <c r="C984" s="148" t="s">
        <v>464</v>
      </c>
      <c r="D984" s="148" t="s">
        <v>239</v>
      </c>
      <c r="E984" s="148">
        <v>994467.90712075995</v>
      </c>
      <c r="F984" t="s">
        <v>249</v>
      </c>
      <c r="G984"/>
    </row>
    <row r="985" spans="1:7" ht="15.75">
      <c r="A985" t="str">
        <f t="shared" si="15"/>
        <v>FounexMazoutCHAUFF</v>
      </c>
      <c r="B985" s="148">
        <v>5717</v>
      </c>
      <c r="C985" s="148" t="s">
        <v>464</v>
      </c>
      <c r="D985" s="148" t="s">
        <v>70</v>
      </c>
      <c r="E985" s="148">
        <v>22650943.527601965</v>
      </c>
      <c r="F985" t="s">
        <v>249</v>
      </c>
      <c r="G985"/>
    </row>
    <row r="986" spans="1:7" ht="15.75">
      <c r="A986" t="str">
        <f t="shared" si="15"/>
        <v>FounexNon renseignéCHAUFF</v>
      </c>
      <c r="B986" s="148">
        <v>5717</v>
      </c>
      <c r="C986" s="148" t="s">
        <v>464</v>
      </c>
      <c r="D986" s="148" t="s">
        <v>696</v>
      </c>
      <c r="E986" s="148">
        <v>0</v>
      </c>
      <c r="F986" t="s">
        <v>249</v>
      </c>
      <c r="G986"/>
    </row>
    <row r="987" spans="1:7" ht="15.75">
      <c r="A987" t="str">
        <f t="shared" si="15"/>
        <v>FounexPACCHAUFF</v>
      </c>
      <c r="B987" s="148">
        <v>5717</v>
      </c>
      <c r="C987" s="148" t="s">
        <v>464</v>
      </c>
      <c r="D987" s="148" t="s">
        <v>69</v>
      </c>
      <c r="E987" s="148">
        <v>1486678.3208431301</v>
      </c>
      <c r="F987" t="s">
        <v>249</v>
      </c>
      <c r="G987"/>
    </row>
    <row r="988" spans="1:7" ht="15.75">
      <c r="A988" t="str">
        <f t="shared" si="15"/>
        <v>FounexSolaireCHAUFF</v>
      </c>
      <c r="B988" s="148">
        <v>5717</v>
      </c>
      <c r="C988" s="148" t="s">
        <v>464</v>
      </c>
      <c r="D988" s="148" t="s">
        <v>240</v>
      </c>
      <c r="E988" s="148" t="e">
        <v>#N/A</v>
      </c>
      <c r="F988" t="s">
        <v>249</v>
      </c>
      <c r="G988"/>
    </row>
    <row r="989" spans="1:7" ht="15.75">
      <c r="A989" t="str">
        <f t="shared" si="15"/>
        <v>FroidevilleBoisCHAUFF</v>
      </c>
      <c r="B989" s="148">
        <v>5523</v>
      </c>
      <c r="C989" s="148" t="s">
        <v>465</v>
      </c>
      <c r="D989" s="148" t="s">
        <v>66</v>
      </c>
      <c r="E989" s="148">
        <v>1252721.6784313701</v>
      </c>
      <c r="F989" t="s">
        <v>249</v>
      </c>
      <c r="G989"/>
    </row>
    <row r="990" spans="1:7" ht="15.75">
      <c r="A990" t="str">
        <f t="shared" si="15"/>
        <v>FroidevilleCADCHAUFF</v>
      </c>
      <c r="B990" s="148">
        <v>5523</v>
      </c>
      <c r="C990" s="148" t="s">
        <v>465</v>
      </c>
      <c r="D990" s="148" t="s">
        <v>242</v>
      </c>
      <c r="E990" s="148">
        <v>952577.7</v>
      </c>
      <c r="F990" t="s">
        <v>249</v>
      </c>
      <c r="G990"/>
    </row>
    <row r="991" spans="1:7" ht="15.75">
      <c r="A991" t="str">
        <f t="shared" si="15"/>
        <v>FroidevilleElectricitéCHAUFF</v>
      </c>
      <c r="B991" s="148">
        <v>5523</v>
      </c>
      <c r="C991" s="148" t="s">
        <v>465</v>
      </c>
      <c r="D991" s="148" t="s">
        <v>97</v>
      </c>
      <c r="E991" s="148">
        <v>4011088.172043019</v>
      </c>
      <c r="F991" t="s">
        <v>249</v>
      </c>
      <c r="G991"/>
    </row>
    <row r="992" spans="1:7" ht="15.75">
      <c r="A992" t="str">
        <f t="shared" si="15"/>
        <v>FroidevilleGazCHAUFF</v>
      </c>
      <c r="B992" s="148">
        <v>5523</v>
      </c>
      <c r="C992" s="148" t="s">
        <v>465</v>
      </c>
      <c r="D992" s="148" t="s">
        <v>239</v>
      </c>
      <c r="E992" s="148">
        <v>7983979.4346748469</v>
      </c>
      <c r="F992" t="s">
        <v>249</v>
      </c>
      <c r="G992"/>
    </row>
    <row r="993" spans="1:7" ht="15.75">
      <c r="A993" t="str">
        <f t="shared" si="15"/>
        <v>FroidevilleMazoutCHAUFF</v>
      </c>
      <c r="B993" s="148">
        <v>5523</v>
      </c>
      <c r="C993" s="148" t="s">
        <v>465</v>
      </c>
      <c r="D993" s="148" t="s">
        <v>70</v>
      </c>
      <c r="E993" s="148">
        <v>4732521.0588235306</v>
      </c>
      <c r="F993" t="s">
        <v>249</v>
      </c>
      <c r="G993"/>
    </row>
    <row r="994" spans="1:7" ht="15.75">
      <c r="A994" t="str">
        <f t="shared" si="15"/>
        <v>FroidevilleNon renseignéCHAUFF</v>
      </c>
      <c r="B994" s="148">
        <v>5523</v>
      </c>
      <c r="C994" s="148" t="s">
        <v>465</v>
      </c>
      <c r="D994" s="148" t="s">
        <v>696</v>
      </c>
      <c r="E994" s="148">
        <v>0</v>
      </c>
      <c r="F994" t="s">
        <v>249</v>
      </c>
      <c r="G994"/>
    </row>
    <row r="995" spans="1:7" ht="15.75">
      <c r="A995" t="str">
        <f t="shared" si="15"/>
        <v>FroidevillePACCHAUFF</v>
      </c>
      <c r="B995" s="148">
        <v>5523</v>
      </c>
      <c r="C995" s="148" t="s">
        <v>465</v>
      </c>
      <c r="D995" s="148" t="s">
        <v>69</v>
      </c>
      <c r="E995" s="148">
        <v>573067.97412548983</v>
      </c>
      <c r="F995" t="s">
        <v>249</v>
      </c>
      <c r="G995"/>
    </row>
    <row r="996" spans="1:7" ht="15.75">
      <c r="A996" t="str">
        <f t="shared" si="15"/>
        <v>FroidevilleSolaireCHAUFF</v>
      </c>
      <c r="B996" s="148">
        <v>5523</v>
      </c>
      <c r="C996" s="148" t="s">
        <v>465</v>
      </c>
      <c r="D996" s="148" t="s">
        <v>240</v>
      </c>
      <c r="E996" s="148">
        <v>10528</v>
      </c>
      <c r="F996" t="s">
        <v>249</v>
      </c>
      <c r="G996"/>
    </row>
    <row r="997" spans="1:7" ht="15.75">
      <c r="A997" t="str">
        <f t="shared" si="15"/>
        <v>FroidevilleCharbonCHAUFF</v>
      </c>
      <c r="B997" s="148">
        <v>5523</v>
      </c>
      <c r="C997" s="148" t="s">
        <v>465</v>
      </c>
      <c r="D997" s="148" t="s">
        <v>695</v>
      </c>
      <c r="E997" s="148" t="e">
        <v>#N/A</v>
      </c>
      <c r="F997" t="s">
        <v>249</v>
      </c>
      <c r="G997"/>
    </row>
    <row r="998" spans="1:7" ht="15.75">
      <c r="A998" t="str">
        <f t="shared" si="15"/>
        <v>GenolierBoisCHAUFF</v>
      </c>
      <c r="B998" s="148">
        <v>5718</v>
      </c>
      <c r="C998" s="148" t="s">
        <v>466</v>
      </c>
      <c r="D998" s="148" t="s">
        <v>66</v>
      </c>
      <c r="E998" s="148">
        <v>1888528.7098039498</v>
      </c>
      <c r="F998" t="s">
        <v>249</v>
      </c>
      <c r="G998"/>
    </row>
    <row r="999" spans="1:7" ht="15.75">
      <c r="A999" t="str">
        <f t="shared" si="15"/>
        <v>GenolierCADCHAUFF</v>
      </c>
      <c r="B999" s="148">
        <v>5718</v>
      </c>
      <c r="C999" s="148" t="s">
        <v>466</v>
      </c>
      <c r="D999" s="148" t="s">
        <v>242</v>
      </c>
      <c r="E999" s="148">
        <v>2379619.7000000002</v>
      </c>
      <c r="F999" t="s">
        <v>249</v>
      </c>
      <c r="G999"/>
    </row>
    <row r="1000" spans="1:7" ht="15.75">
      <c r="A1000" t="str">
        <f t="shared" si="15"/>
        <v>GenolierElectricitéCHAUFF</v>
      </c>
      <c r="B1000" s="148">
        <v>5718</v>
      </c>
      <c r="C1000" s="148" t="s">
        <v>466</v>
      </c>
      <c r="D1000" s="148" t="s">
        <v>97</v>
      </c>
      <c r="E1000" s="148">
        <v>5506291.8064515563</v>
      </c>
      <c r="F1000" t="s">
        <v>249</v>
      </c>
      <c r="G1000"/>
    </row>
    <row r="1001" spans="1:7" ht="15.75">
      <c r="A1001" t="str">
        <f t="shared" si="15"/>
        <v>GenolierGazCHAUFF</v>
      </c>
      <c r="B1001" s="148">
        <v>5718</v>
      </c>
      <c r="C1001" s="148" t="s">
        <v>466</v>
      </c>
      <c r="D1001" s="148" t="s">
        <v>239</v>
      </c>
      <c r="E1001" s="148">
        <v>324121.07585140999</v>
      </c>
      <c r="F1001" t="s">
        <v>249</v>
      </c>
      <c r="G1001"/>
    </row>
    <row r="1002" spans="1:7" ht="15.75">
      <c r="A1002" t="str">
        <f t="shared" si="15"/>
        <v>GenolierMazoutCHAUFF</v>
      </c>
      <c r="B1002" s="148">
        <v>5718</v>
      </c>
      <c r="C1002" s="148" t="s">
        <v>466</v>
      </c>
      <c r="D1002" s="148" t="s">
        <v>70</v>
      </c>
      <c r="E1002" s="148">
        <v>10763816.176470617</v>
      </c>
      <c r="F1002" t="s">
        <v>249</v>
      </c>
      <c r="G1002"/>
    </row>
    <row r="1003" spans="1:7" ht="15.75">
      <c r="A1003" t="str">
        <f t="shared" si="15"/>
        <v>GenolierNon renseignéCHAUFF</v>
      </c>
      <c r="B1003" s="148">
        <v>5718</v>
      </c>
      <c r="C1003" s="148" t="s">
        <v>466</v>
      </c>
      <c r="D1003" s="148" t="s">
        <v>696</v>
      </c>
      <c r="E1003" s="148">
        <v>0</v>
      </c>
      <c r="F1003" t="s">
        <v>249</v>
      </c>
      <c r="G1003"/>
    </row>
    <row r="1004" spans="1:7" ht="15.75">
      <c r="A1004" t="str">
        <f t="shared" si="15"/>
        <v>GenolierPACCHAUFF</v>
      </c>
      <c r="B1004" s="148">
        <v>5718</v>
      </c>
      <c r="C1004" s="148" t="s">
        <v>466</v>
      </c>
      <c r="D1004" s="148" t="s">
        <v>69</v>
      </c>
      <c r="E1004" s="148">
        <v>1148585.48285279</v>
      </c>
      <c r="F1004" t="s">
        <v>249</v>
      </c>
      <c r="G1004"/>
    </row>
    <row r="1005" spans="1:7" ht="15.75">
      <c r="A1005" t="str">
        <f t="shared" si="15"/>
        <v>GenolierAutre agent énergétiqueCHAUFF</v>
      </c>
      <c r="B1005" s="148">
        <v>5718</v>
      </c>
      <c r="C1005" s="148" t="s">
        <v>466</v>
      </c>
      <c r="D1005" s="148" t="s">
        <v>245</v>
      </c>
      <c r="E1005" s="148" t="e">
        <v>#N/A</v>
      </c>
      <c r="F1005" t="s">
        <v>249</v>
      </c>
      <c r="G1005"/>
    </row>
    <row r="1006" spans="1:7" ht="15.75">
      <c r="A1006" t="str">
        <f t="shared" si="15"/>
        <v>GenolierSolaireCHAUFF</v>
      </c>
      <c r="B1006" s="148">
        <v>5718</v>
      </c>
      <c r="C1006" s="148" t="s">
        <v>466</v>
      </c>
      <c r="D1006" s="148" t="s">
        <v>240</v>
      </c>
      <c r="E1006" s="148" t="e">
        <v>#N/A</v>
      </c>
      <c r="F1006" t="s">
        <v>249</v>
      </c>
      <c r="G1006"/>
    </row>
    <row r="1007" spans="1:7" ht="15.75">
      <c r="A1007" t="str">
        <f t="shared" si="15"/>
        <v>GiezAutre agent énergétiqueCHAUFF</v>
      </c>
      <c r="B1007" s="148">
        <v>5559</v>
      </c>
      <c r="C1007" s="148" t="s">
        <v>467</v>
      </c>
      <c r="D1007" s="148" t="s">
        <v>245</v>
      </c>
      <c r="E1007" s="148">
        <v>72529.882352939996</v>
      </c>
      <c r="F1007" t="s">
        <v>249</v>
      </c>
      <c r="G1007"/>
    </row>
    <row r="1008" spans="1:7" ht="15.75">
      <c r="A1008" t="str">
        <f t="shared" si="15"/>
        <v>GiezBoisCHAUFF</v>
      </c>
      <c r="B1008" s="148">
        <v>5559</v>
      </c>
      <c r="C1008" s="148" t="s">
        <v>467</v>
      </c>
      <c r="D1008" s="148" t="s">
        <v>66</v>
      </c>
      <c r="E1008" s="148">
        <v>683295.18431371008</v>
      </c>
      <c r="F1008" t="s">
        <v>249</v>
      </c>
      <c r="G1008"/>
    </row>
    <row r="1009" spans="1:7" ht="15.75">
      <c r="A1009" t="str">
        <f t="shared" si="15"/>
        <v>GiezCADCHAUFF</v>
      </c>
      <c r="B1009" s="148">
        <v>5559</v>
      </c>
      <c r="C1009" s="148" t="s">
        <v>467</v>
      </c>
      <c r="D1009" s="148" t="s">
        <v>242</v>
      </c>
      <c r="E1009" s="148">
        <v>4592.5</v>
      </c>
      <c r="F1009" t="s">
        <v>249</v>
      </c>
      <c r="G1009"/>
    </row>
    <row r="1010" spans="1:7" ht="15.75">
      <c r="A1010" t="str">
        <f t="shared" si="15"/>
        <v>GiezElectricitéCHAUFF</v>
      </c>
      <c r="B1010" s="148">
        <v>5559</v>
      </c>
      <c r="C1010" s="148" t="s">
        <v>467</v>
      </c>
      <c r="D1010" s="148" t="s">
        <v>97</v>
      </c>
      <c r="E1010" s="148">
        <v>1274742.5376343804</v>
      </c>
      <c r="F1010" t="s">
        <v>249</v>
      </c>
      <c r="G1010"/>
    </row>
    <row r="1011" spans="1:7" ht="15.75">
      <c r="A1011" t="str">
        <f t="shared" si="15"/>
        <v>GiezGazCHAUFF</v>
      </c>
      <c r="B1011" s="148">
        <v>5559</v>
      </c>
      <c r="C1011" s="148" t="s">
        <v>467</v>
      </c>
      <c r="D1011" s="148" t="s">
        <v>239</v>
      </c>
      <c r="E1011" s="148">
        <v>109116.23529411</v>
      </c>
      <c r="F1011" t="s">
        <v>249</v>
      </c>
      <c r="G1011"/>
    </row>
    <row r="1012" spans="1:7" ht="15.75">
      <c r="A1012" t="str">
        <f t="shared" si="15"/>
        <v>GiezMazoutCHAUFF</v>
      </c>
      <c r="B1012" s="148">
        <v>5559</v>
      </c>
      <c r="C1012" s="148" t="s">
        <v>467</v>
      </c>
      <c r="D1012" s="148" t="s">
        <v>70</v>
      </c>
      <c r="E1012" s="148">
        <v>3613853.5176470806</v>
      </c>
      <c r="F1012" t="s">
        <v>249</v>
      </c>
      <c r="G1012"/>
    </row>
    <row r="1013" spans="1:7" ht="15.75">
      <c r="A1013" t="str">
        <f t="shared" si="15"/>
        <v>GiezNon renseignéCHAUFF</v>
      </c>
      <c r="B1013" s="148">
        <v>5559</v>
      </c>
      <c r="C1013" s="148" t="s">
        <v>467</v>
      </c>
      <c r="D1013" s="148" t="s">
        <v>696</v>
      </c>
      <c r="E1013" s="148">
        <v>0</v>
      </c>
      <c r="F1013" t="s">
        <v>249</v>
      </c>
      <c r="G1013"/>
    </row>
    <row r="1014" spans="1:7" ht="15.75">
      <c r="A1014" t="str">
        <f t="shared" si="15"/>
        <v>GiezPACCHAUFF</v>
      </c>
      <c r="B1014" s="148">
        <v>5559</v>
      </c>
      <c r="C1014" s="148" t="s">
        <v>467</v>
      </c>
      <c r="D1014" s="148" t="s">
        <v>69</v>
      </c>
      <c r="E1014" s="148">
        <v>208452.70095991</v>
      </c>
      <c r="F1014" t="s">
        <v>249</v>
      </c>
      <c r="G1014"/>
    </row>
    <row r="1015" spans="1:7" ht="15.75">
      <c r="A1015" t="str">
        <f t="shared" si="15"/>
        <v>GiezSolaireCHAUFF</v>
      </c>
      <c r="B1015" s="148">
        <v>5559</v>
      </c>
      <c r="C1015" s="148" t="s">
        <v>467</v>
      </c>
      <c r="D1015" s="148" t="s">
        <v>240</v>
      </c>
      <c r="E1015" s="148">
        <v>25189.600000000002</v>
      </c>
      <c r="F1015" t="s">
        <v>249</v>
      </c>
      <c r="G1015"/>
    </row>
    <row r="1016" spans="1:7" ht="15.75">
      <c r="A1016" t="str">
        <f t="shared" si="15"/>
        <v>GillyBoisCHAUFF</v>
      </c>
      <c r="B1016" s="148">
        <v>5857</v>
      </c>
      <c r="C1016" s="148" t="s">
        <v>468</v>
      </c>
      <c r="D1016" s="148" t="s">
        <v>66</v>
      </c>
      <c r="E1016" s="148">
        <v>1902218.4941176302</v>
      </c>
      <c r="F1016" t="s">
        <v>249</v>
      </c>
      <c r="G1016"/>
    </row>
    <row r="1017" spans="1:7" ht="15.75">
      <c r="A1017" t="str">
        <f t="shared" si="15"/>
        <v>GillyElectricitéCHAUFF</v>
      </c>
      <c r="B1017" s="148">
        <v>5857</v>
      </c>
      <c r="C1017" s="148" t="s">
        <v>468</v>
      </c>
      <c r="D1017" s="148" t="s">
        <v>97</v>
      </c>
      <c r="E1017" s="148">
        <v>811422.55913979013</v>
      </c>
      <c r="F1017" t="s">
        <v>249</v>
      </c>
      <c r="G1017"/>
    </row>
    <row r="1018" spans="1:7" ht="15.75">
      <c r="A1018" t="str">
        <f t="shared" si="15"/>
        <v>GillyGazCHAUFF</v>
      </c>
      <c r="B1018" s="148">
        <v>5857</v>
      </c>
      <c r="C1018" s="148" t="s">
        <v>468</v>
      </c>
      <c r="D1018" s="148" t="s">
        <v>239</v>
      </c>
      <c r="E1018" s="148">
        <v>6674684.8188854316</v>
      </c>
      <c r="F1018" t="s">
        <v>249</v>
      </c>
      <c r="G1018"/>
    </row>
    <row r="1019" spans="1:7" ht="15.75">
      <c r="A1019" t="str">
        <f t="shared" si="15"/>
        <v>GillyMazoutCHAUFF</v>
      </c>
      <c r="B1019" s="148">
        <v>5857</v>
      </c>
      <c r="C1019" s="148" t="s">
        <v>468</v>
      </c>
      <c r="D1019" s="148" t="s">
        <v>70</v>
      </c>
      <c r="E1019" s="148">
        <v>6302652.5411765017</v>
      </c>
      <c r="F1019" t="s">
        <v>249</v>
      </c>
      <c r="G1019"/>
    </row>
    <row r="1020" spans="1:7" ht="15.75">
      <c r="A1020" t="str">
        <f t="shared" si="15"/>
        <v>GillyNon renseignéCHAUFF</v>
      </c>
      <c r="B1020" s="148">
        <v>5857</v>
      </c>
      <c r="C1020" s="148" t="s">
        <v>468</v>
      </c>
      <c r="D1020" s="148" t="s">
        <v>696</v>
      </c>
      <c r="E1020" s="148">
        <v>0</v>
      </c>
      <c r="F1020" t="s">
        <v>249</v>
      </c>
      <c r="G1020"/>
    </row>
    <row r="1021" spans="1:7" ht="15.75">
      <c r="A1021" t="str">
        <f t="shared" si="15"/>
        <v>GillyPACCHAUFF</v>
      </c>
      <c r="B1021" s="148">
        <v>5857</v>
      </c>
      <c r="C1021" s="148" t="s">
        <v>468</v>
      </c>
      <c r="D1021" s="148" t="s">
        <v>69</v>
      </c>
      <c r="E1021" s="148">
        <v>234713.98275862</v>
      </c>
      <c r="F1021" t="s">
        <v>249</v>
      </c>
      <c r="G1021"/>
    </row>
    <row r="1022" spans="1:7" ht="15.75">
      <c r="A1022" t="str">
        <f t="shared" si="15"/>
        <v>GillySolaireCHAUFF</v>
      </c>
      <c r="B1022" s="148">
        <v>5857</v>
      </c>
      <c r="C1022" s="148" t="s">
        <v>468</v>
      </c>
      <c r="D1022" s="148" t="s">
        <v>240</v>
      </c>
      <c r="E1022" s="148">
        <v>7489.6</v>
      </c>
      <c r="F1022" t="s">
        <v>249</v>
      </c>
      <c r="G1022"/>
    </row>
    <row r="1023" spans="1:7" ht="15.75">
      <c r="A1023" t="str">
        <f t="shared" si="15"/>
        <v>GimelBoisCHAUFF</v>
      </c>
      <c r="B1023" s="148">
        <v>5428</v>
      </c>
      <c r="C1023" s="148" t="s">
        <v>469</v>
      </c>
      <c r="D1023" s="148" t="s">
        <v>66</v>
      </c>
      <c r="E1023" s="148">
        <v>2264601.1294117598</v>
      </c>
      <c r="F1023" t="s">
        <v>249</v>
      </c>
      <c r="G1023"/>
    </row>
    <row r="1024" spans="1:7" ht="15.75">
      <c r="A1024" t="str">
        <f t="shared" si="15"/>
        <v>GimelCADCHAUFF</v>
      </c>
      <c r="B1024" s="148">
        <v>5428</v>
      </c>
      <c r="C1024" s="148" t="s">
        <v>469</v>
      </c>
      <c r="D1024" s="148" t="s">
        <v>242</v>
      </c>
      <c r="E1024" s="148">
        <v>716419.4</v>
      </c>
      <c r="F1024" t="s">
        <v>249</v>
      </c>
      <c r="G1024"/>
    </row>
    <row r="1025" spans="1:7" ht="15.75">
      <c r="A1025" t="str">
        <f t="shared" si="15"/>
        <v>GimelElectricitéCHAUFF</v>
      </c>
      <c r="B1025" s="148">
        <v>5428</v>
      </c>
      <c r="C1025" s="148" t="s">
        <v>469</v>
      </c>
      <c r="D1025" s="148" t="s">
        <v>97</v>
      </c>
      <c r="E1025" s="148">
        <v>2530241.4623655705</v>
      </c>
      <c r="F1025" t="s">
        <v>249</v>
      </c>
      <c r="G1025"/>
    </row>
    <row r="1026" spans="1:7" ht="15.75">
      <c r="A1026" t="str">
        <f t="shared" si="15"/>
        <v>GimelGazCHAUFF</v>
      </c>
      <c r="B1026" s="148">
        <v>5428</v>
      </c>
      <c r="C1026" s="148" t="s">
        <v>469</v>
      </c>
      <c r="D1026" s="148" t="s">
        <v>239</v>
      </c>
      <c r="E1026" s="148">
        <v>6064578.9188854378</v>
      </c>
      <c r="F1026" t="s">
        <v>249</v>
      </c>
      <c r="G1026"/>
    </row>
    <row r="1027" spans="1:7" ht="15.75">
      <c r="A1027" t="str">
        <f t="shared" ref="A1027:A1090" si="16">_xlfn.CONCAT(C1027,D1027,F1027)</f>
        <v>GimelMazoutCHAUFF</v>
      </c>
      <c r="B1027" s="148">
        <v>5428</v>
      </c>
      <c r="C1027" s="148" t="s">
        <v>469</v>
      </c>
      <c r="D1027" s="148" t="s">
        <v>70</v>
      </c>
      <c r="E1027" s="148">
        <v>8032995.5467356788</v>
      </c>
      <c r="F1027" t="s">
        <v>249</v>
      </c>
      <c r="G1027"/>
    </row>
    <row r="1028" spans="1:7" ht="15.75">
      <c r="A1028" t="str">
        <f t="shared" si="16"/>
        <v>GimelNon renseignéCHAUFF</v>
      </c>
      <c r="B1028" s="148">
        <v>5428</v>
      </c>
      <c r="C1028" s="148" t="s">
        <v>469</v>
      </c>
      <c r="D1028" s="148" t="s">
        <v>696</v>
      </c>
      <c r="E1028" s="148">
        <v>0</v>
      </c>
      <c r="F1028" t="s">
        <v>249</v>
      </c>
      <c r="G1028"/>
    </row>
    <row r="1029" spans="1:7" ht="15.75">
      <c r="A1029" t="str">
        <f t="shared" si="16"/>
        <v>GimelPACCHAUFF</v>
      </c>
      <c r="B1029" s="148">
        <v>5428</v>
      </c>
      <c r="C1029" s="148" t="s">
        <v>469</v>
      </c>
      <c r="D1029" s="148" t="s">
        <v>69</v>
      </c>
      <c r="E1029" s="148">
        <v>203766.41629007002</v>
      </c>
      <c r="F1029" t="s">
        <v>249</v>
      </c>
      <c r="G1029"/>
    </row>
    <row r="1030" spans="1:7" ht="15.75">
      <c r="A1030" t="str">
        <f t="shared" si="16"/>
        <v>GimelSolaireCHAUFF</v>
      </c>
      <c r="B1030" s="148">
        <v>5428</v>
      </c>
      <c r="C1030" s="148" t="s">
        <v>469</v>
      </c>
      <c r="D1030" s="148" t="s">
        <v>240</v>
      </c>
      <c r="E1030" s="148" t="e">
        <v>#N/A</v>
      </c>
      <c r="F1030" t="s">
        <v>249</v>
      </c>
      <c r="G1030"/>
    </row>
    <row r="1031" spans="1:7" ht="15.75">
      <c r="A1031" t="str">
        <f t="shared" si="16"/>
        <v>GinginsBoisCHAUFF</v>
      </c>
      <c r="B1031" s="148">
        <v>5719</v>
      </c>
      <c r="C1031" s="148" t="s">
        <v>470</v>
      </c>
      <c r="D1031" s="148" t="s">
        <v>66</v>
      </c>
      <c r="E1031" s="148">
        <v>2144992.0313725299</v>
      </c>
      <c r="F1031" t="s">
        <v>249</v>
      </c>
      <c r="G1031"/>
    </row>
    <row r="1032" spans="1:7" ht="15.75">
      <c r="A1032" t="str">
        <f t="shared" si="16"/>
        <v>GinginsCADCHAUFF</v>
      </c>
      <c r="B1032" s="148">
        <v>5719</v>
      </c>
      <c r="C1032" s="148" t="s">
        <v>470</v>
      </c>
      <c r="D1032" s="148" t="s">
        <v>242</v>
      </c>
      <c r="E1032" s="148">
        <v>163520</v>
      </c>
      <c r="F1032" t="s">
        <v>249</v>
      </c>
      <c r="G1032"/>
    </row>
    <row r="1033" spans="1:7" ht="15.75">
      <c r="A1033" t="str">
        <f t="shared" si="16"/>
        <v>GinginsElectricitéCHAUFF</v>
      </c>
      <c r="B1033" s="148">
        <v>5719</v>
      </c>
      <c r="C1033" s="148" t="s">
        <v>470</v>
      </c>
      <c r="D1033" s="148" t="s">
        <v>97</v>
      </c>
      <c r="E1033" s="148">
        <v>3669579.1935484195</v>
      </c>
      <c r="F1033" t="s">
        <v>249</v>
      </c>
      <c r="G1033"/>
    </row>
    <row r="1034" spans="1:7" ht="15.75">
      <c r="A1034" t="str">
        <f t="shared" si="16"/>
        <v>GinginsGazCHAUFF</v>
      </c>
      <c r="B1034" s="148">
        <v>5719</v>
      </c>
      <c r="C1034" s="148" t="s">
        <v>470</v>
      </c>
      <c r="D1034" s="148" t="s">
        <v>239</v>
      </c>
      <c r="E1034" s="148">
        <v>168362.58823530001</v>
      </c>
      <c r="F1034" t="s">
        <v>249</v>
      </c>
      <c r="G1034"/>
    </row>
    <row r="1035" spans="1:7" ht="15.75">
      <c r="A1035" t="str">
        <f t="shared" si="16"/>
        <v>GinginsMazoutCHAUFF</v>
      </c>
      <c r="B1035" s="148">
        <v>5719</v>
      </c>
      <c r="C1035" s="148" t="s">
        <v>470</v>
      </c>
      <c r="D1035" s="148" t="s">
        <v>70</v>
      </c>
      <c r="E1035" s="148">
        <v>7584282.6470587775</v>
      </c>
      <c r="F1035" t="s">
        <v>249</v>
      </c>
      <c r="G1035"/>
    </row>
    <row r="1036" spans="1:7" ht="15.75">
      <c r="A1036" t="str">
        <f t="shared" si="16"/>
        <v>GinginsNon renseignéCHAUFF</v>
      </c>
      <c r="B1036" s="148">
        <v>5719</v>
      </c>
      <c r="C1036" s="148" t="s">
        <v>470</v>
      </c>
      <c r="D1036" s="148" t="s">
        <v>696</v>
      </c>
      <c r="E1036" s="148">
        <v>0</v>
      </c>
      <c r="F1036" t="s">
        <v>249</v>
      </c>
      <c r="G1036"/>
    </row>
    <row r="1037" spans="1:7" ht="15.75">
      <c r="A1037" t="str">
        <f t="shared" si="16"/>
        <v>GinginsPACCHAUFF</v>
      </c>
      <c r="B1037" s="148">
        <v>5719</v>
      </c>
      <c r="C1037" s="148" t="s">
        <v>470</v>
      </c>
      <c r="D1037" s="148" t="s">
        <v>69</v>
      </c>
      <c r="E1037" s="148">
        <v>526053.55114331993</v>
      </c>
      <c r="F1037" t="s">
        <v>249</v>
      </c>
      <c r="G1037"/>
    </row>
    <row r="1038" spans="1:7" ht="15.75">
      <c r="A1038" t="str">
        <f t="shared" si="16"/>
        <v>GinginsSolaireCHAUFF</v>
      </c>
      <c r="B1038" s="148">
        <v>5719</v>
      </c>
      <c r="C1038" s="148" t="s">
        <v>470</v>
      </c>
      <c r="D1038" s="148" t="s">
        <v>240</v>
      </c>
      <c r="E1038" s="148">
        <v>24764.799999999999</v>
      </c>
      <c r="F1038" t="s">
        <v>249</v>
      </c>
      <c r="G1038"/>
    </row>
    <row r="1039" spans="1:7" ht="15.75">
      <c r="A1039" t="str">
        <f t="shared" si="16"/>
        <v>GinginsAutre agent énergétiqueCHAUFF</v>
      </c>
      <c r="B1039" s="148">
        <v>5719</v>
      </c>
      <c r="C1039" s="148" t="s">
        <v>470</v>
      </c>
      <c r="D1039" s="148" t="s">
        <v>245</v>
      </c>
      <c r="E1039" s="148" t="e">
        <v>#N/A</v>
      </c>
      <c r="F1039" t="s">
        <v>249</v>
      </c>
      <c r="G1039"/>
    </row>
    <row r="1040" spans="1:7" ht="15.75">
      <c r="A1040" t="str">
        <f t="shared" si="16"/>
        <v>GivrinsAutre agent énergétiqueCHAUFF</v>
      </c>
      <c r="B1040" s="148">
        <v>5720</v>
      </c>
      <c r="C1040" s="148" t="s">
        <v>471</v>
      </c>
      <c r="D1040" s="148" t="s">
        <v>245</v>
      </c>
      <c r="E1040" s="148">
        <v>36525.176470589999</v>
      </c>
      <c r="F1040" t="s">
        <v>249</v>
      </c>
      <c r="G1040"/>
    </row>
    <row r="1041" spans="1:7" ht="15.75">
      <c r="A1041" t="str">
        <f t="shared" si="16"/>
        <v>GivrinsBoisCHAUFF</v>
      </c>
      <c r="B1041" s="148">
        <v>5720</v>
      </c>
      <c r="C1041" s="148" t="s">
        <v>471</v>
      </c>
      <c r="D1041" s="148" t="s">
        <v>66</v>
      </c>
      <c r="E1041" s="148">
        <v>629514.8886274501</v>
      </c>
      <c r="F1041" t="s">
        <v>249</v>
      </c>
      <c r="G1041"/>
    </row>
    <row r="1042" spans="1:7" ht="15.75">
      <c r="A1042" t="str">
        <f t="shared" si="16"/>
        <v>GivrinsCADCHAUFF</v>
      </c>
      <c r="B1042" s="148">
        <v>5720</v>
      </c>
      <c r="C1042" s="148" t="s">
        <v>471</v>
      </c>
      <c r="D1042" s="148" t="s">
        <v>242</v>
      </c>
      <c r="E1042" s="148">
        <v>913442.59999999986</v>
      </c>
      <c r="F1042" t="s">
        <v>249</v>
      </c>
      <c r="G1042"/>
    </row>
    <row r="1043" spans="1:7" ht="15.75">
      <c r="A1043" t="str">
        <f t="shared" si="16"/>
        <v>GivrinsElectricitéCHAUFF</v>
      </c>
      <c r="B1043" s="148">
        <v>5720</v>
      </c>
      <c r="C1043" s="148" t="s">
        <v>471</v>
      </c>
      <c r="D1043" s="148" t="s">
        <v>97</v>
      </c>
      <c r="E1043" s="148">
        <v>2048494.6236559192</v>
      </c>
      <c r="F1043" t="s">
        <v>249</v>
      </c>
      <c r="G1043"/>
    </row>
    <row r="1044" spans="1:7" ht="15.75">
      <c r="A1044" t="str">
        <f t="shared" si="16"/>
        <v>GivrinsGazCHAUFF</v>
      </c>
      <c r="B1044" s="148">
        <v>5720</v>
      </c>
      <c r="C1044" s="148" t="s">
        <v>471</v>
      </c>
      <c r="D1044" s="148" t="s">
        <v>239</v>
      </c>
      <c r="E1044" s="148">
        <v>122816</v>
      </c>
      <c r="F1044" t="s">
        <v>249</v>
      </c>
      <c r="G1044"/>
    </row>
    <row r="1045" spans="1:7" ht="15.75">
      <c r="A1045" t="str">
        <f t="shared" si="16"/>
        <v>GivrinsMazoutCHAUFF</v>
      </c>
      <c r="B1045" s="148">
        <v>5720</v>
      </c>
      <c r="C1045" s="148" t="s">
        <v>471</v>
      </c>
      <c r="D1045" s="148" t="s">
        <v>70</v>
      </c>
      <c r="E1045" s="148">
        <v>6731565.4941176577</v>
      </c>
      <c r="F1045" t="s">
        <v>249</v>
      </c>
      <c r="G1045"/>
    </row>
    <row r="1046" spans="1:7" ht="15.75">
      <c r="A1046" t="str">
        <f t="shared" si="16"/>
        <v>GivrinsNon renseignéCHAUFF</v>
      </c>
      <c r="B1046" s="148">
        <v>5720</v>
      </c>
      <c r="C1046" s="148" t="s">
        <v>471</v>
      </c>
      <c r="D1046" s="148" t="s">
        <v>696</v>
      </c>
      <c r="E1046" s="148">
        <v>0</v>
      </c>
      <c r="F1046" t="s">
        <v>249</v>
      </c>
      <c r="G1046"/>
    </row>
    <row r="1047" spans="1:7" ht="15.75">
      <c r="A1047" t="str">
        <f t="shared" si="16"/>
        <v>GivrinsPACCHAUFF</v>
      </c>
      <c r="B1047" s="148">
        <v>5720</v>
      </c>
      <c r="C1047" s="148" t="s">
        <v>471</v>
      </c>
      <c r="D1047" s="148" t="s">
        <v>69</v>
      </c>
      <c r="E1047" s="148">
        <v>563737.46698867984</v>
      </c>
      <c r="F1047" t="s">
        <v>249</v>
      </c>
      <c r="G1047"/>
    </row>
    <row r="1048" spans="1:7" ht="15.75">
      <c r="A1048" t="str">
        <f t="shared" si="16"/>
        <v>GivrinsSolaireCHAUFF</v>
      </c>
      <c r="B1048" s="148">
        <v>5720</v>
      </c>
      <c r="C1048" s="148" t="s">
        <v>471</v>
      </c>
      <c r="D1048" s="148" t="s">
        <v>240</v>
      </c>
      <c r="E1048" s="148">
        <v>8483.2000000000007</v>
      </c>
      <c r="F1048" t="s">
        <v>249</v>
      </c>
      <c r="G1048"/>
    </row>
    <row r="1049" spans="1:7" ht="15.75">
      <c r="A1049" t="str">
        <f t="shared" si="16"/>
        <v>GlandAutre agent énergétiqueCHAUFF</v>
      </c>
      <c r="B1049" s="148">
        <v>5721</v>
      </c>
      <c r="C1049" s="148" t="s">
        <v>472</v>
      </c>
      <c r="D1049" s="148" t="s">
        <v>245</v>
      </c>
      <c r="E1049" s="148">
        <v>1320067.5294117699</v>
      </c>
      <c r="F1049" t="s">
        <v>249</v>
      </c>
      <c r="G1049"/>
    </row>
    <row r="1050" spans="1:7" ht="15.75">
      <c r="A1050" t="str">
        <f t="shared" si="16"/>
        <v>GlandBoisCHAUFF</v>
      </c>
      <c r="B1050" s="148">
        <v>5721</v>
      </c>
      <c r="C1050" s="148" t="s">
        <v>472</v>
      </c>
      <c r="D1050" s="148" t="s">
        <v>66</v>
      </c>
      <c r="E1050" s="148">
        <v>2193161.70980389</v>
      </c>
      <c r="F1050" t="s">
        <v>249</v>
      </c>
      <c r="G1050"/>
    </row>
    <row r="1051" spans="1:7" ht="15.75">
      <c r="A1051" t="str">
        <f t="shared" si="16"/>
        <v>GlandCADCHAUFF</v>
      </c>
      <c r="B1051" s="148">
        <v>5721</v>
      </c>
      <c r="C1051" s="148" t="s">
        <v>472</v>
      </c>
      <c r="D1051" s="148" t="s">
        <v>242</v>
      </c>
      <c r="E1051" s="148">
        <v>8177441.459999999</v>
      </c>
      <c r="F1051" t="s">
        <v>249</v>
      </c>
      <c r="G1051"/>
    </row>
    <row r="1052" spans="1:7" ht="15.75">
      <c r="A1052" t="str">
        <f t="shared" si="16"/>
        <v>GlandElectricitéCHAUFF</v>
      </c>
      <c r="B1052" s="148">
        <v>5721</v>
      </c>
      <c r="C1052" s="148" t="s">
        <v>472</v>
      </c>
      <c r="D1052" s="148" t="s">
        <v>97</v>
      </c>
      <c r="E1052" s="148">
        <v>3814757.4193548202</v>
      </c>
      <c r="F1052" t="s">
        <v>249</v>
      </c>
      <c r="G1052"/>
    </row>
    <row r="1053" spans="1:7" ht="15.75">
      <c r="A1053" t="str">
        <f t="shared" si="16"/>
        <v>GlandGazCHAUFF</v>
      </c>
      <c r="B1053" s="148">
        <v>5721</v>
      </c>
      <c r="C1053" s="148" t="s">
        <v>472</v>
      </c>
      <c r="D1053" s="148" t="s">
        <v>239</v>
      </c>
      <c r="E1053" s="148">
        <v>47092108.669969067</v>
      </c>
      <c r="F1053" t="s">
        <v>249</v>
      </c>
      <c r="G1053"/>
    </row>
    <row r="1054" spans="1:7" ht="15.75">
      <c r="A1054" t="str">
        <f t="shared" si="16"/>
        <v>GlandMazoutCHAUFF</v>
      </c>
      <c r="B1054" s="148">
        <v>5721</v>
      </c>
      <c r="C1054" s="148" t="s">
        <v>472</v>
      </c>
      <c r="D1054" s="148" t="s">
        <v>70</v>
      </c>
      <c r="E1054" s="148">
        <v>35006736.682352982</v>
      </c>
      <c r="F1054" t="s">
        <v>249</v>
      </c>
      <c r="G1054"/>
    </row>
    <row r="1055" spans="1:7" ht="15.75">
      <c r="A1055" t="str">
        <f t="shared" si="16"/>
        <v>GlandNon renseignéCHAUFF</v>
      </c>
      <c r="B1055" s="148">
        <v>5721</v>
      </c>
      <c r="C1055" s="148" t="s">
        <v>472</v>
      </c>
      <c r="D1055" s="148" t="s">
        <v>696</v>
      </c>
      <c r="E1055" s="148">
        <v>0</v>
      </c>
      <c r="F1055" t="s">
        <v>249</v>
      </c>
      <c r="G1055"/>
    </row>
    <row r="1056" spans="1:7" ht="15.75">
      <c r="A1056" t="str">
        <f t="shared" si="16"/>
        <v>GlandPACCHAUFF</v>
      </c>
      <c r="B1056" s="148">
        <v>5721</v>
      </c>
      <c r="C1056" s="148" t="s">
        <v>472</v>
      </c>
      <c r="D1056" s="148" t="s">
        <v>69</v>
      </c>
      <c r="E1056" s="148">
        <v>2277939.35203363</v>
      </c>
      <c r="F1056" t="s">
        <v>249</v>
      </c>
      <c r="G1056"/>
    </row>
    <row r="1057" spans="1:7" ht="15.75">
      <c r="A1057" t="str">
        <f t="shared" si="16"/>
        <v>GlandCharbonCHAUFF</v>
      </c>
      <c r="B1057" s="148">
        <v>5721</v>
      </c>
      <c r="C1057" s="148" t="s">
        <v>472</v>
      </c>
      <c r="D1057" s="148" t="s">
        <v>695</v>
      </c>
      <c r="E1057" s="148" t="e">
        <v>#N/A</v>
      </c>
      <c r="F1057" t="s">
        <v>249</v>
      </c>
      <c r="G1057"/>
    </row>
    <row r="1058" spans="1:7" ht="15.75">
      <c r="A1058" t="str">
        <f t="shared" si="16"/>
        <v>GlandSolaireCHAUFF</v>
      </c>
      <c r="B1058" s="148">
        <v>5721</v>
      </c>
      <c r="C1058" s="148" t="s">
        <v>472</v>
      </c>
      <c r="D1058" s="148" t="s">
        <v>240</v>
      </c>
      <c r="E1058" s="148" t="e">
        <v>#N/A</v>
      </c>
      <c r="F1058" t="s">
        <v>249</v>
      </c>
      <c r="G1058"/>
    </row>
    <row r="1059" spans="1:7" ht="15.75">
      <c r="A1059" t="str">
        <f t="shared" si="16"/>
        <v>GollionBoisCHAUFF</v>
      </c>
      <c r="B1059" s="148">
        <v>5484</v>
      </c>
      <c r="C1059" s="148" t="s">
        <v>473</v>
      </c>
      <c r="D1059" s="148" t="s">
        <v>66</v>
      </c>
      <c r="E1059" s="148">
        <v>1027980.1066666698</v>
      </c>
      <c r="F1059" t="s">
        <v>249</v>
      </c>
      <c r="G1059"/>
    </row>
    <row r="1060" spans="1:7" ht="15.75">
      <c r="A1060" t="str">
        <f t="shared" si="16"/>
        <v>GollionCADCHAUFF</v>
      </c>
      <c r="B1060" s="148">
        <v>5484</v>
      </c>
      <c r="C1060" s="148" t="s">
        <v>473</v>
      </c>
      <c r="D1060" s="148" t="s">
        <v>242</v>
      </c>
      <c r="E1060" s="148">
        <v>294142</v>
      </c>
      <c r="F1060" t="s">
        <v>249</v>
      </c>
      <c r="G1060"/>
    </row>
    <row r="1061" spans="1:7" ht="15.75">
      <c r="A1061" t="str">
        <f t="shared" si="16"/>
        <v>GollionElectricitéCHAUFF</v>
      </c>
      <c r="B1061" s="148">
        <v>5484</v>
      </c>
      <c r="C1061" s="148" t="s">
        <v>473</v>
      </c>
      <c r="D1061" s="148" t="s">
        <v>97</v>
      </c>
      <c r="E1061" s="148">
        <v>1394670.32258066</v>
      </c>
      <c r="F1061" t="s">
        <v>249</v>
      </c>
      <c r="G1061"/>
    </row>
    <row r="1062" spans="1:7" ht="15.75">
      <c r="A1062" t="str">
        <f t="shared" si="16"/>
        <v>GollionGazCHAUFF</v>
      </c>
      <c r="B1062" s="148">
        <v>5484</v>
      </c>
      <c r="C1062" s="148" t="s">
        <v>473</v>
      </c>
      <c r="D1062" s="148" t="s">
        <v>239</v>
      </c>
      <c r="E1062" s="148">
        <v>3160555.8899071096</v>
      </c>
      <c r="F1062" t="s">
        <v>249</v>
      </c>
      <c r="G1062"/>
    </row>
    <row r="1063" spans="1:7" ht="15.75">
      <c r="A1063" t="str">
        <f t="shared" si="16"/>
        <v>GollionMazoutCHAUFF</v>
      </c>
      <c r="B1063" s="148">
        <v>5484</v>
      </c>
      <c r="C1063" s="148" t="s">
        <v>473</v>
      </c>
      <c r="D1063" s="148" t="s">
        <v>70</v>
      </c>
      <c r="E1063" s="148">
        <v>3241586.0352941211</v>
      </c>
      <c r="F1063" t="s">
        <v>249</v>
      </c>
      <c r="G1063"/>
    </row>
    <row r="1064" spans="1:7" ht="15.75">
      <c r="A1064" t="str">
        <f t="shared" si="16"/>
        <v>GollionNon renseignéCHAUFF</v>
      </c>
      <c r="B1064" s="148">
        <v>5484</v>
      </c>
      <c r="C1064" s="148" t="s">
        <v>473</v>
      </c>
      <c r="D1064" s="148" t="s">
        <v>696</v>
      </c>
      <c r="E1064" s="148">
        <v>0</v>
      </c>
      <c r="F1064" t="s">
        <v>249</v>
      </c>
      <c r="G1064"/>
    </row>
    <row r="1065" spans="1:7" ht="15.75">
      <c r="A1065" t="str">
        <f t="shared" si="16"/>
        <v>GollionPACCHAUFF</v>
      </c>
      <c r="B1065" s="148">
        <v>5484</v>
      </c>
      <c r="C1065" s="148" t="s">
        <v>473</v>
      </c>
      <c r="D1065" s="148" t="s">
        <v>69</v>
      </c>
      <c r="E1065" s="148">
        <v>165010.74074073997</v>
      </c>
      <c r="F1065" t="s">
        <v>249</v>
      </c>
      <c r="G1065"/>
    </row>
    <row r="1066" spans="1:7" ht="15.75">
      <c r="A1066" t="str">
        <f t="shared" si="16"/>
        <v>GollionSolaireCHAUFF</v>
      </c>
      <c r="B1066" s="148">
        <v>5484</v>
      </c>
      <c r="C1066" s="148" t="s">
        <v>473</v>
      </c>
      <c r="D1066" s="148" t="s">
        <v>240</v>
      </c>
      <c r="E1066" s="148" t="e">
        <v>#N/A</v>
      </c>
      <c r="F1066" t="s">
        <v>249</v>
      </c>
      <c r="G1066"/>
    </row>
    <row r="1067" spans="1:7" ht="15.75">
      <c r="A1067" t="str">
        <f t="shared" si="16"/>
        <v>GoumoënsBoisCHAUFF</v>
      </c>
      <c r="B1067" s="148">
        <v>5541</v>
      </c>
      <c r="C1067" s="148" t="s">
        <v>640</v>
      </c>
      <c r="D1067" s="148" t="s">
        <v>66</v>
      </c>
      <c r="E1067" s="148">
        <v>1496272.1952941404</v>
      </c>
      <c r="F1067" t="s">
        <v>249</v>
      </c>
      <c r="G1067"/>
    </row>
    <row r="1068" spans="1:7" ht="15.75">
      <c r="A1068" t="str">
        <f t="shared" si="16"/>
        <v>GoumoënsCADCHAUFF</v>
      </c>
      <c r="B1068" s="148">
        <v>5541</v>
      </c>
      <c r="C1068" s="148" t="s">
        <v>640</v>
      </c>
      <c r="D1068" s="148" t="s">
        <v>242</v>
      </c>
      <c r="E1068" s="148">
        <v>350068</v>
      </c>
      <c r="F1068" t="s">
        <v>249</v>
      </c>
      <c r="G1068"/>
    </row>
    <row r="1069" spans="1:7" ht="15.75">
      <c r="A1069" t="str">
        <f t="shared" si="16"/>
        <v>GoumoënsElectricitéCHAUFF</v>
      </c>
      <c r="B1069" s="148">
        <v>5541</v>
      </c>
      <c r="C1069" s="148" t="s">
        <v>640</v>
      </c>
      <c r="D1069" s="148" t="s">
        <v>97</v>
      </c>
      <c r="E1069" s="148">
        <v>1641188.1139784602</v>
      </c>
      <c r="F1069" t="s">
        <v>249</v>
      </c>
      <c r="G1069"/>
    </row>
    <row r="1070" spans="1:7" ht="15.75">
      <c r="A1070" t="str">
        <f t="shared" si="16"/>
        <v>GoumoënsGazCHAUFF</v>
      </c>
      <c r="B1070" s="148">
        <v>5541</v>
      </c>
      <c r="C1070" s="148" t="s">
        <v>640</v>
      </c>
      <c r="D1070" s="148" t="s">
        <v>239</v>
      </c>
      <c r="E1070" s="148">
        <v>4484378.0653250664</v>
      </c>
      <c r="F1070" t="s">
        <v>249</v>
      </c>
      <c r="G1070"/>
    </row>
    <row r="1071" spans="1:7" ht="15.75">
      <c r="A1071" t="str">
        <f t="shared" si="16"/>
        <v>GoumoënsMazoutCHAUFF</v>
      </c>
      <c r="B1071" s="148">
        <v>5541</v>
      </c>
      <c r="C1071" s="148" t="s">
        <v>640</v>
      </c>
      <c r="D1071" s="148" t="s">
        <v>70</v>
      </c>
      <c r="E1071" s="148">
        <v>6137719.7058823798</v>
      </c>
      <c r="F1071" t="s">
        <v>249</v>
      </c>
      <c r="G1071"/>
    </row>
    <row r="1072" spans="1:7" ht="15.75">
      <c r="A1072" t="str">
        <f t="shared" si="16"/>
        <v>GoumoënsNon renseignéCHAUFF</v>
      </c>
      <c r="B1072" s="148">
        <v>5541</v>
      </c>
      <c r="C1072" s="148" t="s">
        <v>640</v>
      </c>
      <c r="D1072" s="148" t="s">
        <v>696</v>
      </c>
      <c r="E1072" s="148">
        <v>0</v>
      </c>
      <c r="F1072" t="s">
        <v>249</v>
      </c>
      <c r="G1072"/>
    </row>
    <row r="1073" spans="1:7" ht="15.75">
      <c r="A1073" t="str">
        <f t="shared" si="16"/>
        <v>GoumoënsPACCHAUFF</v>
      </c>
      <c r="B1073" s="148">
        <v>5541</v>
      </c>
      <c r="C1073" s="148" t="s">
        <v>640</v>
      </c>
      <c r="D1073" s="148" t="s">
        <v>69</v>
      </c>
      <c r="E1073" s="148">
        <v>255806.93428912002</v>
      </c>
      <c r="F1073" t="s">
        <v>249</v>
      </c>
      <c r="G1073"/>
    </row>
    <row r="1074" spans="1:7" ht="15.75">
      <c r="A1074" t="str">
        <f t="shared" si="16"/>
        <v>GoumoënsSolaireCHAUFF</v>
      </c>
      <c r="B1074" s="148">
        <v>5541</v>
      </c>
      <c r="C1074" s="148" t="s">
        <v>640</v>
      </c>
      <c r="D1074" s="148" t="s">
        <v>240</v>
      </c>
      <c r="E1074" s="148" t="e">
        <v>#N/A</v>
      </c>
      <c r="F1074" t="s">
        <v>249</v>
      </c>
      <c r="G1074"/>
    </row>
    <row r="1075" spans="1:7" ht="15.75">
      <c r="A1075" t="str">
        <f t="shared" si="16"/>
        <v>GrancyBoisCHAUFF</v>
      </c>
      <c r="B1075" s="148">
        <v>5485</v>
      </c>
      <c r="C1075" s="148" t="s">
        <v>474</v>
      </c>
      <c r="D1075" s="148" t="s">
        <v>66</v>
      </c>
      <c r="E1075" s="148">
        <v>813024.85176470003</v>
      </c>
      <c r="F1075" t="s">
        <v>249</v>
      </c>
      <c r="G1075"/>
    </row>
    <row r="1076" spans="1:7" ht="15.75">
      <c r="A1076" t="str">
        <f t="shared" si="16"/>
        <v>GrancyElectricitéCHAUFF</v>
      </c>
      <c r="B1076" s="148">
        <v>5485</v>
      </c>
      <c r="C1076" s="148" t="s">
        <v>474</v>
      </c>
      <c r="D1076" s="148" t="s">
        <v>97</v>
      </c>
      <c r="E1076" s="148">
        <v>741737.63440860005</v>
      </c>
      <c r="F1076" t="s">
        <v>249</v>
      </c>
      <c r="G1076"/>
    </row>
    <row r="1077" spans="1:7" ht="15.75">
      <c r="A1077" t="str">
        <f t="shared" si="16"/>
        <v>GrancyGazCHAUFF</v>
      </c>
      <c r="B1077" s="148">
        <v>5485</v>
      </c>
      <c r="C1077" s="148" t="s">
        <v>474</v>
      </c>
      <c r="D1077" s="148" t="s">
        <v>239</v>
      </c>
      <c r="E1077" s="148">
        <v>1938350.0185758497</v>
      </c>
      <c r="F1077" t="s">
        <v>249</v>
      </c>
      <c r="G1077"/>
    </row>
    <row r="1078" spans="1:7" ht="15.75">
      <c r="A1078" t="str">
        <f t="shared" si="16"/>
        <v>GrancyMazoutCHAUFF</v>
      </c>
      <c r="B1078" s="148">
        <v>5485</v>
      </c>
      <c r="C1078" s="148" t="s">
        <v>474</v>
      </c>
      <c r="D1078" s="148" t="s">
        <v>70</v>
      </c>
      <c r="E1078" s="148">
        <v>2336602.4764705901</v>
      </c>
      <c r="F1078" t="s">
        <v>249</v>
      </c>
      <c r="G1078"/>
    </row>
    <row r="1079" spans="1:7" ht="15.75">
      <c r="A1079" t="str">
        <f t="shared" si="16"/>
        <v>GrancyNon renseignéCHAUFF</v>
      </c>
      <c r="B1079" s="148">
        <v>5485</v>
      </c>
      <c r="C1079" s="148" t="s">
        <v>474</v>
      </c>
      <c r="D1079" s="148" t="s">
        <v>696</v>
      </c>
      <c r="E1079" s="148">
        <v>0</v>
      </c>
      <c r="F1079" t="s">
        <v>249</v>
      </c>
      <c r="G1079"/>
    </row>
    <row r="1080" spans="1:7" ht="15.75">
      <c r="A1080" t="str">
        <f t="shared" si="16"/>
        <v>GrancyPACCHAUFF</v>
      </c>
      <c r="B1080" s="148">
        <v>5485</v>
      </c>
      <c r="C1080" s="148" t="s">
        <v>474</v>
      </c>
      <c r="D1080" s="148" t="s">
        <v>69</v>
      </c>
      <c r="E1080" s="148">
        <v>40340.740740730005</v>
      </c>
      <c r="F1080" t="s">
        <v>249</v>
      </c>
      <c r="G1080"/>
    </row>
    <row r="1081" spans="1:7" ht="15.75">
      <c r="A1081" t="str">
        <f t="shared" si="16"/>
        <v>GrancySolaireCHAUFF</v>
      </c>
      <c r="B1081" s="148">
        <v>5485</v>
      </c>
      <c r="C1081" s="148" t="s">
        <v>474</v>
      </c>
      <c r="D1081" s="148" t="s">
        <v>240</v>
      </c>
      <c r="E1081" s="148" t="e">
        <v>#N/A</v>
      </c>
      <c r="F1081" t="s">
        <v>249</v>
      </c>
      <c r="G1081"/>
    </row>
    <row r="1082" spans="1:7" ht="15.75">
      <c r="A1082" t="str">
        <f t="shared" si="16"/>
        <v>GrandcourAutre agent énergétiqueCHAUFF</v>
      </c>
      <c r="B1082" s="148">
        <v>5817</v>
      </c>
      <c r="C1082" s="148" t="s">
        <v>475</v>
      </c>
      <c r="D1082" s="148" t="s">
        <v>245</v>
      </c>
      <c r="E1082" s="148">
        <v>11990.588235290001</v>
      </c>
      <c r="F1082" t="s">
        <v>249</v>
      </c>
      <c r="G1082"/>
    </row>
    <row r="1083" spans="1:7" ht="15.75">
      <c r="A1083" t="str">
        <f t="shared" si="16"/>
        <v>GrandcourBoisCHAUFF</v>
      </c>
      <c r="B1083" s="148">
        <v>5817</v>
      </c>
      <c r="C1083" s="148" t="s">
        <v>475</v>
      </c>
      <c r="D1083" s="148" t="s">
        <v>66</v>
      </c>
      <c r="E1083" s="148">
        <v>1258788.13333333</v>
      </c>
      <c r="F1083" t="s">
        <v>249</v>
      </c>
      <c r="G1083"/>
    </row>
    <row r="1084" spans="1:7" ht="15.75">
      <c r="A1084" t="str">
        <f t="shared" si="16"/>
        <v>GrandcourElectricitéCHAUFF</v>
      </c>
      <c r="B1084" s="148">
        <v>5817</v>
      </c>
      <c r="C1084" s="148" t="s">
        <v>475</v>
      </c>
      <c r="D1084" s="148" t="s">
        <v>97</v>
      </c>
      <c r="E1084" s="148">
        <v>1316083.2688171903</v>
      </c>
      <c r="F1084" t="s">
        <v>249</v>
      </c>
      <c r="G1084"/>
    </row>
    <row r="1085" spans="1:7" ht="15.75">
      <c r="A1085" t="str">
        <f t="shared" si="16"/>
        <v>GrandcourGazCHAUFF</v>
      </c>
      <c r="B1085" s="148">
        <v>5817</v>
      </c>
      <c r="C1085" s="148" t="s">
        <v>475</v>
      </c>
      <c r="D1085" s="148" t="s">
        <v>239</v>
      </c>
      <c r="E1085" s="148">
        <v>117876.5102167</v>
      </c>
      <c r="F1085" t="s">
        <v>249</v>
      </c>
      <c r="G1085"/>
    </row>
    <row r="1086" spans="1:7" ht="15.75">
      <c r="A1086" t="str">
        <f t="shared" si="16"/>
        <v>GrandcourMazoutCHAUFF</v>
      </c>
      <c r="B1086" s="148">
        <v>5817</v>
      </c>
      <c r="C1086" s="148" t="s">
        <v>475</v>
      </c>
      <c r="D1086" s="148" t="s">
        <v>70</v>
      </c>
      <c r="E1086" s="148">
        <v>9332497.2219780553</v>
      </c>
      <c r="F1086" t="s">
        <v>249</v>
      </c>
      <c r="G1086"/>
    </row>
    <row r="1087" spans="1:7" ht="15.75">
      <c r="A1087" t="str">
        <f t="shared" si="16"/>
        <v>GrandcourNon renseignéCHAUFF</v>
      </c>
      <c r="B1087" s="148">
        <v>5817</v>
      </c>
      <c r="C1087" s="148" t="s">
        <v>475</v>
      </c>
      <c r="D1087" s="148" t="s">
        <v>696</v>
      </c>
      <c r="E1087" s="148">
        <v>0</v>
      </c>
      <c r="F1087" t="s">
        <v>249</v>
      </c>
      <c r="G1087"/>
    </row>
    <row r="1088" spans="1:7" ht="15.75">
      <c r="A1088" t="str">
        <f t="shared" si="16"/>
        <v>GrandcourPACCHAUFF</v>
      </c>
      <c r="B1088" s="148">
        <v>5817</v>
      </c>
      <c r="C1088" s="148" t="s">
        <v>475</v>
      </c>
      <c r="D1088" s="148" t="s">
        <v>69</v>
      </c>
      <c r="E1088" s="148">
        <v>627271.76931066997</v>
      </c>
      <c r="F1088" t="s">
        <v>249</v>
      </c>
      <c r="G1088"/>
    </row>
    <row r="1089" spans="1:7" ht="15.75">
      <c r="A1089" t="str">
        <f t="shared" si="16"/>
        <v>GrandcourSolaireCHAUFF</v>
      </c>
      <c r="B1089" s="148">
        <v>5817</v>
      </c>
      <c r="C1089" s="148" t="s">
        <v>475</v>
      </c>
      <c r="D1089" s="148" t="s">
        <v>240</v>
      </c>
      <c r="E1089" s="148">
        <v>10953.6</v>
      </c>
      <c r="F1089" t="s">
        <v>249</v>
      </c>
      <c r="G1089"/>
    </row>
    <row r="1090" spans="1:7" ht="15.75">
      <c r="A1090" t="str">
        <f t="shared" si="16"/>
        <v>GrandeventBoisCHAUFF</v>
      </c>
      <c r="B1090" s="148">
        <v>5560</v>
      </c>
      <c r="C1090" s="148" t="s">
        <v>476</v>
      </c>
      <c r="D1090" s="148" t="s">
        <v>66</v>
      </c>
      <c r="E1090" s="148">
        <v>1100866.87058825</v>
      </c>
      <c r="F1090" t="s">
        <v>249</v>
      </c>
      <c r="G1090"/>
    </row>
    <row r="1091" spans="1:7" ht="15.75">
      <c r="A1091" t="str">
        <f t="shared" ref="A1091:A1162" si="17">_xlfn.CONCAT(C1091,D1091,F1091)</f>
        <v>GrandeventElectricitéCHAUFF</v>
      </c>
      <c r="B1091" s="148">
        <v>5560</v>
      </c>
      <c r="C1091" s="148" t="s">
        <v>476</v>
      </c>
      <c r="D1091" s="148" t="s">
        <v>97</v>
      </c>
      <c r="E1091" s="148">
        <v>704258.27956990013</v>
      </c>
      <c r="F1091" t="s">
        <v>249</v>
      </c>
      <c r="G1091"/>
    </row>
    <row r="1092" spans="1:7" ht="15.75">
      <c r="A1092" t="str">
        <f t="shared" si="17"/>
        <v>GrandeventGazCHAUFF</v>
      </c>
      <c r="B1092" s="148">
        <v>5560</v>
      </c>
      <c r="C1092" s="148" t="s">
        <v>476</v>
      </c>
      <c r="D1092" s="148" t="s">
        <v>239</v>
      </c>
      <c r="E1092" s="148">
        <v>40018.526315789997</v>
      </c>
      <c r="F1092" t="s">
        <v>249</v>
      </c>
      <c r="G1092"/>
    </row>
    <row r="1093" spans="1:7" ht="15.75">
      <c r="A1093" t="str">
        <f t="shared" si="17"/>
        <v>GrandeventMazoutCHAUFF</v>
      </c>
      <c r="B1093" s="148">
        <v>5560</v>
      </c>
      <c r="C1093" s="148" t="s">
        <v>476</v>
      </c>
      <c r="D1093" s="148" t="s">
        <v>70</v>
      </c>
      <c r="E1093" s="148">
        <v>1297611.2941176402</v>
      </c>
      <c r="F1093" t="s">
        <v>249</v>
      </c>
      <c r="G1093"/>
    </row>
    <row r="1094" spans="1:7" ht="15.75">
      <c r="A1094" t="str">
        <f t="shared" si="17"/>
        <v>GrandeventNon renseignéCHAUFF</v>
      </c>
      <c r="B1094" s="148">
        <v>5560</v>
      </c>
      <c r="C1094" s="148" t="s">
        <v>476</v>
      </c>
      <c r="D1094" s="148" t="s">
        <v>696</v>
      </c>
      <c r="E1094" s="148">
        <v>0</v>
      </c>
      <c r="F1094" t="s">
        <v>249</v>
      </c>
      <c r="G1094"/>
    </row>
    <row r="1095" spans="1:7" ht="15.75">
      <c r="A1095" t="str">
        <f t="shared" si="17"/>
        <v>GrandeventPACCHAUFF</v>
      </c>
      <c r="B1095" s="148">
        <v>5560</v>
      </c>
      <c r="C1095" s="148" t="s">
        <v>476</v>
      </c>
      <c r="D1095" s="148" t="s">
        <v>69</v>
      </c>
      <c r="E1095" s="148">
        <v>75721.128102610004</v>
      </c>
      <c r="F1095" t="s">
        <v>249</v>
      </c>
      <c r="G1095"/>
    </row>
    <row r="1096" spans="1:7" ht="15.75">
      <c r="A1096" t="str">
        <f t="shared" si="17"/>
        <v>GrandeventSolaireCHAUFF</v>
      </c>
      <c r="B1096" s="148">
        <v>5560</v>
      </c>
      <c r="C1096" s="148" t="s">
        <v>476</v>
      </c>
      <c r="D1096" s="148" t="s">
        <v>240</v>
      </c>
      <c r="E1096" s="148" t="e">
        <v>#N/A</v>
      </c>
      <c r="F1096" t="s">
        <v>249</v>
      </c>
      <c r="G1096"/>
    </row>
    <row r="1097" spans="1:7" ht="15.75">
      <c r="A1097" t="str">
        <f t="shared" si="17"/>
        <v>GrandsonAutre agent énergétiqueCHAUFF</v>
      </c>
      <c r="B1097" s="148">
        <v>5561</v>
      </c>
      <c r="C1097" s="148" t="s">
        <v>477</v>
      </c>
      <c r="D1097" s="148" t="s">
        <v>245</v>
      </c>
      <c r="E1097" s="148">
        <v>387826.35294119996</v>
      </c>
      <c r="F1097" t="s">
        <v>249</v>
      </c>
      <c r="G1097"/>
    </row>
    <row r="1098" spans="1:7" ht="15.75">
      <c r="A1098" t="str">
        <f t="shared" si="17"/>
        <v>GrandsonBoisCHAUFF</v>
      </c>
      <c r="B1098" s="148">
        <v>5561</v>
      </c>
      <c r="C1098" s="148" t="s">
        <v>477</v>
      </c>
      <c r="D1098" s="148" t="s">
        <v>66</v>
      </c>
      <c r="E1098" s="148">
        <v>1758479.9999999905</v>
      </c>
      <c r="F1098" t="s">
        <v>249</v>
      </c>
      <c r="G1098"/>
    </row>
    <row r="1099" spans="1:7" ht="15.75">
      <c r="A1099" t="str">
        <f t="shared" si="17"/>
        <v>GrandsonCADCHAUFF</v>
      </c>
      <c r="B1099" s="148">
        <v>5561</v>
      </c>
      <c r="C1099" s="148" t="s">
        <v>477</v>
      </c>
      <c r="D1099" s="148" t="s">
        <v>242</v>
      </c>
      <c r="E1099" s="148">
        <v>385076.19999999995</v>
      </c>
      <c r="F1099" t="s">
        <v>249</v>
      </c>
      <c r="G1099"/>
    </row>
    <row r="1100" spans="1:7" ht="15.75">
      <c r="A1100" t="str">
        <f t="shared" si="17"/>
        <v>GrandsonCharbonCHAUFF</v>
      </c>
      <c r="B1100" s="148">
        <v>5561</v>
      </c>
      <c r="C1100" s="148" t="s">
        <v>477</v>
      </c>
      <c r="D1100" s="148" t="s">
        <v>695</v>
      </c>
      <c r="E1100" s="148" t="e">
        <v>#N/A</v>
      </c>
      <c r="F1100" t="s">
        <v>249</v>
      </c>
      <c r="G1100"/>
    </row>
    <row r="1101" spans="1:7" ht="15.75">
      <c r="A1101" t="str">
        <f t="shared" si="17"/>
        <v>GrandsonElectricitéCHAUFF</v>
      </c>
      <c r="B1101" s="148">
        <v>5561</v>
      </c>
      <c r="C1101" s="148" t="s">
        <v>477</v>
      </c>
      <c r="D1101" s="148" t="s">
        <v>97</v>
      </c>
      <c r="E1101" s="148">
        <v>3145192.5806451612</v>
      </c>
      <c r="F1101" t="s">
        <v>249</v>
      </c>
      <c r="G1101"/>
    </row>
    <row r="1102" spans="1:7" ht="15.75">
      <c r="A1102" t="str">
        <f t="shared" si="17"/>
        <v>GrandsonGazCHAUFF</v>
      </c>
      <c r="B1102" s="148">
        <v>5561</v>
      </c>
      <c r="C1102" s="148" t="s">
        <v>477</v>
      </c>
      <c r="D1102" s="148" t="s">
        <v>239</v>
      </c>
      <c r="E1102" s="148">
        <v>15329920.650154771</v>
      </c>
      <c r="F1102" t="s">
        <v>249</v>
      </c>
      <c r="G1102"/>
    </row>
    <row r="1103" spans="1:7" ht="15.75">
      <c r="A1103" t="str">
        <f t="shared" si="17"/>
        <v>GrandsonMazoutCHAUFF</v>
      </c>
      <c r="B1103" s="148">
        <v>5561</v>
      </c>
      <c r="C1103" s="148" t="s">
        <v>477</v>
      </c>
      <c r="D1103" s="148" t="s">
        <v>70</v>
      </c>
      <c r="E1103" s="148">
        <v>14209735.294117726</v>
      </c>
      <c r="F1103" t="s">
        <v>249</v>
      </c>
      <c r="G1103"/>
    </row>
    <row r="1104" spans="1:7" ht="15.75">
      <c r="A1104" t="str">
        <f t="shared" si="17"/>
        <v>GrandsonNon renseignéCHAUFF</v>
      </c>
      <c r="B1104" s="148">
        <v>5561</v>
      </c>
      <c r="C1104" s="148" t="s">
        <v>477</v>
      </c>
      <c r="D1104" s="148" t="s">
        <v>696</v>
      </c>
      <c r="E1104" s="148">
        <v>0</v>
      </c>
      <c r="F1104" t="s">
        <v>249</v>
      </c>
      <c r="G1104"/>
    </row>
    <row r="1105" spans="1:7" ht="15.75">
      <c r="A1105" t="str">
        <f t="shared" si="17"/>
        <v>GrandsonPACCHAUFF</v>
      </c>
      <c r="B1105" s="148">
        <v>5561</v>
      </c>
      <c r="C1105" s="148" t="s">
        <v>477</v>
      </c>
      <c r="D1105" s="148" t="s">
        <v>69</v>
      </c>
      <c r="E1105" s="148">
        <v>503670.00214235007</v>
      </c>
      <c r="F1105" t="s">
        <v>249</v>
      </c>
      <c r="G1105"/>
    </row>
    <row r="1106" spans="1:7" ht="15.75">
      <c r="A1106" t="str">
        <f t="shared" si="17"/>
        <v>GrandsonSolaireCHAUFF</v>
      </c>
      <c r="B1106" s="148">
        <v>5561</v>
      </c>
      <c r="C1106" s="148" t="s">
        <v>477</v>
      </c>
      <c r="D1106" s="148" t="s">
        <v>240</v>
      </c>
      <c r="E1106" s="148" t="e">
        <v>#N/A</v>
      </c>
      <c r="F1106" t="s">
        <v>249</v>
      </c>
      <c r="G1106"/>
    </row>
    <row r="1107" spans="1:7" ht="15.75">
      <c r="A1107" t="str">
        <f t="shared" si="17"/>
        <v>GrensBoisCHAUFF</v>
      </c>
      <c r="B1107" s="148">
        <v>5722</v>
      </c>
      <c r="C1107" s="148" t="s">
        <v>478</v>
      </c>
      <c r="D1107" s="148" t="s">
        <v>66</v>
      </c>
      <c r="E1107" s="148">
        <v>307829.60000000999</v>
      </c>
      <c r="F1107" t="s">
        <v>249</v>
      </c>
      <c r="G1107"/>
    </row>
    <row r="1108" spans="1:7" ht="15.75">
      <c r="A1108" t="str">
        <f t="shared" si="17"/>
        <v>GrensElectricitéCHAUFF</v>
      </c>
      <c r="B1108" s="148">
        <v>5722</v>
      </c>
      <c r="C1108" s="148" t="s">
        <v>478</v>
      </c>
      <c r="D1108" s="148" t="s">
        <v>97</v>
      </c>
      <c r="E1108" s="148">
        <v>540299.35483871005</v>
      </c>
      <c r="F1108" t="s">
        <v>249</v>
      </c>
      <c r="G1108"/>
    </row>
    <row r="1109" spans="1:7" ht="15.75">
      <c r="A1109" t="str">
        <f t="shared" si="17"/>
        <v>GrensGazCHAUFF</v>
      </c>
      <c r="B1109" s="148">
        <v>5722</v>
      </c>
      <c r="C1109" s="148" t="s">
        <v>478</v>
      </c>
      <c r="D1109" s="148" t="s">
        <v>239</v>
      </c>
      <c r="E1109" s="148">
        <v>239406.35294117001</v>
      </c>
      <c r="F1109" t="s">
        <v>249</v>
      </c>
      <c r="G1109"/>
    </row>
    <row r="1110" spans="1:7" ht="15.75">
      <c r="A1110" t="str">
        <f t="shared" si="17"/>
        <v>GrensMazoutCHAUFF</v>
      </c>
      <c r="B1110" s="148">
        <v>5722</v>
      </c>
      <c r="C1110" s="148" t="s">
        <v>478</v>
      </c>
      <c r="D1110" s="148" t="s">
        <v>70</v>
      </c>
      <c r="E1110" s="148">
        <v>2611183.7058823695</v>
      </c>
      <c r="F1110" t="s">
        <v>249</v>
      </c>
      <c r="G1110"/>
    </row>
    <row r="1111" spans="1:7" ht="15.75">
      <c r="A1111" t="str">
        <f t="shared" si="17"/>
        <v>GrensNon renseignéCHAUFF</v>
      </c>
      <c r="B1111" s="148">
        <v>5722</v>
      </c>
      <c r="C1111" s="148" t="s">
        <v>478</v>
      </c>
      <c r="D1111" s="148" t="s">
        <v>696</v>
      </c>
      <c r="E1111" s="148">
        <v>0</v>
      </c>
      <c r="F1111" t="s">
        <v>249</v>
      </c>
      <c r="G1111"/>
    </row>
    <row r="1112" spans="1:7" ht="15.75">
      <c r="A1112" t="str">
        <f t="shared" si="17"/>
        <v>GrensPACCHAUFF</v>
      </c>
      <c r="B1112" s="148">
        <v>5722</v>
      </c>
      <c r="C1112" s="148" t="s">
        <v>478</v>
      </c>
      <c r="D1112" s="148" t="s">
        <v>69</v>
      </c>
      <c r="E1112" s="148">
        <v>153792.49239001999</v>
      </c>
      <c r="F1112" t="s">
        <v>249</v>
      </c>
      <c r="G1112"/>
    </row>
    <row r="1113" spans="1:7" ht="15.75">
      <c r="A1113" t="str">
        <f t="shared" si="17"/>
        <v>GrensSolaireCHAUFF</v>
      </c>
      <c r="B1113" s="148">
        <v>5722</v>
      </c>
      <c r="C1113" s="148" t="s">
        <v>478</v>
      </c>
      <c r="D1113" s="148" t="s">
        <v>240</v>
      </c>
      <c r="E1113" s="148" t="e">
        <v>#N/A</v>
      </c>
      <c r="F1113" t="s">
        <v>249</v>
      </c>
      <c r="G1113"/>
    </row>
    <row r="1114" spans="1:7" ht="15.75">
      <c r="A1114" t="str">
        <f t="shared" si="17"/>
        <v>GryonAutre agent énergétiqueCHAUFF</v>
      </c>
      <c r="B1114" s="148">
        <v>5405</v>
      </c>
      <c r="C1114" s="148" t="s">
        <v>479</v>
      </c>
      <c r="D1114" s="148" t="s">
        <v>245</v>
      </c>
      <c r="E1114" s="148">
        <v>40424.470588240001</v>
      </c>
      <c r="F1114" t="s">
        <v>249</v>
      </c>
      <c r="G1114"/>
    </row>
    <row r="1115" spans="1:7" ht="15.75">
      <c r="A1115" t="str">
        <f t="shared" si="17"/>
        <v>GryonBoisCHAUFF</v>
      </c>
      <c r="B1115" s="148">
        <v>5405</v>
      </c>
      <c r="C1115" s="148" t="s">
        <v>479</v>
      </c>
      <c r="D1115" s="148" t="s">
        <v>66</v>
      </c>
      <c r="E1115" s="148">
        <v>4742263.2643137584</v>
      </c>
      <c r="F1115" t="s">
        <v>249</v>
      </c>
      <c r="G1115"/>
    </row>
    <row r="1116" spans="1:7" ht="15.75">
      <c r="A1116" t="str">
        <f t="shared" si="17"/>
        <v>GryonCADCHAUFF</v>
      </c>
      <c r="B1116" s="148">
        <v>5405</v>
      </c>
      <c r="C1116" s="148" t="s">
        <v>479</v>
      </c>
      <c r="D1116" s="148" t="s">
        <v>242</v>
      </c>
      <c r="E1116" s="148">
        <v>7400</v>
      </c>
      <c r="F1116" t="s">
        <v>249</v>
      </c>
      <c r="G1116"/>
    </row>
    <row r="1117" spans="1:7" ht="15.75">
      <c r="A1117" t="str">
        <f t="shared" si="17"/>
        <v>GryonElectricitéCHAUFF</v>
      </c>
      <c r="B1117" s="148">
        <v>5405</v>
      </c>
      <c r="C1117" s="148" t="s">
        <v>479</v>
      </c>
      <c r="D1117" s="148" t="s">
        <v>97</v>
      </c>
      <c r="E1117" s="148">
        <v>3671595.053763411</v>
      </c>
      <c r="F1117" t="s">
        <v>249</v>
      </c>
      <c r="G1117"/>
    </row>
    <row r="1118" spans="1:7" ht="15.75">
      <c r="A1118" t="str">
        <f t="shared" si="17"/>
        <v>GryonGazCHAUFF</v>
      </c>
      <c r="B1118" s="148">
        <v>5405</v>
      </c>
      <c r="C1118" s="148" t="s">
        <v>479</v>
      </c>
      <c r="D1118" s="148" t="s">
        <v>239</v>
      </c>
      <c r="E1118" s="148">
        <v>3137609.852631581</v>
      </c>
      <c r="F1118" t="s">
        <v>249</v>
      </c>
      <c r="G1118"/>
    </row>
    <row r="1119" spans="1:7" ht="15.75">
      <c r="A1119" t="str">
        <f t="shared" si="17"/>
        <v>GryonMazoutCHAUFF</v>
      </c>
      <c r="B1119" s="148">
        <v>5405</v>
      </c>
      <c r="C1119" s="148" t="s">
        <v>479</v>
      </c>
      <c r="D1119" s="148" t="s">
        <v>70</v>
      </c>
      <c r="E1119" s="148">
        <v>24068660.804137055</v>
      </c>
      <c r="F1119" t="s">
        <v>249</v>
      </c>
      <c r="G1119"/>
    </row>
    <row r="1120" spans="1:7" ht="15.75">
      <c r="A1120" t="str">
        <f t="shared" si="17"/>
        <v>GryonNon renseignéCHAUFF</v>
      </c>
      <c r="B1120" s="148">
        <v>5405</v>
      </c>
      <c r="C1120" s="148" t="s">
        <v>479</v>
      </c>
      <c r="D1120" s="148" t="s">
        <v>696</v>
      </c>
      <c r="E1120" s="148">
        <v>0</v>
      </c>
      <c r="F1120" t="s">
        <v>249</v>
      </c>
      <c r="G1120"/>
    </row>
    <row r="1121" spans="1:7" ht="15.75">
      <c r="A1121" t="str">
        <f t="shared" si="17"/>
        <v>GryonPACCHAUFF</v>
      </c>
      <c r="B1121" s="148">
        <v>5405</v>
      </c>
      <c r="C1121" s="148" t="s">
        <v>479</v>
      </c>
      <c r="D1121" s="148" t="s">
        <v>69</v>
      </c>
      <c r="E1121" s="148">
        <v>392217.76032416004</v>
      </c>
      <c r="F1121" t="s">
        <v>249</v>
      </c>
      <c r="G1121"/>
    </row>
    <row r="1122" spans="1:7" ht="15.75">
      <c r="A1122" t="str">
        <f t="shared" si="17"/>
        <v>GryonSolaireCHAUFF</v>
      </c>
      <c r="B1122" s="148">
        <v>5405</v>
      </c>
      <c r="C1122" s="148" t="s">
        <v>479</v>
      </c>
      <c r="D1122" s="148" t="s">
        <v>240</v>
      </c>
      <c r="E1122" s="148">
        <v>101606.40000000001</v>
      </c>
      <c r="F1122" t="s">
        <v>249</v>
      </c>
      <c r="G1122"/>
    </row>
    <row r="1123" spans="1:7" ht="15.75">
      <c r="A1123" t="str">
        <f t="shared" si="17"/>
        <v>HautemorgesBoisCHAUFF</v>
      </c>
      <c r="B1123" s="148">
        <v>5656</v>
      </c>
      <c r="C1123" s="148" t="s">
        <v>887</v>
      </c>
      <c r="D1123" s="148" t="s">
        <v>66</v>
      </c>
      <c r="E1123" s="148">
        <v>4179734.2949019293</v>
      </c>
      <c r="F1123" t="s">
        <v>249</v>
      </c>
      <c r="G1123"/>
    </row>
    <row r="1124" spans="1:7" ht="15.75">
      <c r="A1124" t="str">
        <f t="shared" si="17"/>
        <v>HautemorgesCADCHAUFF</v>
      </c>
      <c r="B1124" s="148">
        <v>5656</v>
      </c>
      <c r="C1124" s="148" t="s">
        <v>887</v>
      </c>
      <c r="D1124" s="148" t="s">
        <v>242</v>
      </c>
      <c r="E1124" s="148">
        <v>131116</v>
      </c>
      <c r="F1124" t="s">
        <v>249</v>
      </c>
      <c r="G1124"/>
    </row>
    <row r="1125" spans="1:7" ht="15.75">
      <c r="A1125" t="str">
        <f t="shared" si="17"/>
        <v>HautemorgesElectricitéCHAUFF</v>
      </c>
      <c r="B1125" s="148">
        <v>5656</v>
      </c>
      <c r="C1125" s="148" t="s">
        <v>887</v>
      </c>
      <c r="D1125" s="148" t="s">
        <v>97</v>
      </c>
      <c r="E1125" s="148">
        <v>5424143.3978494098</v>
      </c>
      <c r="F1125" t="s">
        <v>249</v>
      </c>
      <c r="G1125"/>
    </row>
    <row r="1126" spans="1:7" ht="15.75">
      <c r="A1126" t="str">
        <f t="shared" si="17"/>
        <v>HautemorgesGazCHAUFF</v>
      </c>
      <c r="B1126" s="148">
        <v>5656</v>
      </c>
      <c r="C1126" s="148" t="s">
        <v>887</v>
      </c>
      <c r="D1126" s="148" t="s">
        <v>239</v>
      </c>
      <c r="E1126" s="148">
        <v>17847978.592890669</v>
      </c>
      <c r="F1126" t="s">
        <v>249</v>
      </c>
      <c r="G1126"/>
    </row>
    <row r="1127" spans="1:7" ht="15.75">
      <c r="A1127" t="str">
        <f t="shared" si="17"/>
        <v>HautemorgesMazoutCHAUFF</v>
      </c>
      <c r="B1127" s="148">
        <v>5656</v>
      </c>
      <c r="C1127" s="148" t="s">
        <v>887</v>
      </c>
      <c r="D1127" s="148" t="s">
        <v>70</v>
      </c>
      <c r="E1127" s="148">
        <v>16422881.786683947</v>
      </c>
      <c r="F1127" t="s">
        <v>249</v>
      </c>
      <c r="G1127"/>
    </row>
    <row r="1128" spans="1:7" ht="15.75">
      <c r="A1128" t="str">
        <f t="shared" si="17"/>
        <v>HautemorgesNon renseignéCHAUFF</v>
      </c>
      <c r="B1128" s="148">
        <v>5656</v>
      </c>
      <c r="C1128" s="148" t="s">
        <v>887</v>
      </c>
      <c r="D1128" s="148" t="s">
        <v>696</v>
      </c>
      <c r="E1128" s="148">
        <v>0</v>
      </c>
      <c r="F1128" t="s">
        <v>249</v>
      </c>
      <c r="G1128"/>
    </row>
    <row r="1129" spans="1:7" ht="15.75">
      <c r="A1129" t="str">
        <f t="shared" si="17"/>
        <v>HautemorgesPACCHAUFF</v>
      </c>
      <c r="B1129" s="148">
        <v>5656</v>
      </c>
      <c r="C1129" s="148" t="s">
        <v>887</v>
      </c>
      <c r="D1129" s="148" t="s">
        <v>69</v>
      </c>
      <c r="E1129" s="148">
        <v>775566.72169760987</v>
      </c>
      <c r="F1129" t="s">
        <v>249</v>
      </c>
      <c r="G1129"/>
    </row>
    <row r="1130" spans="1:7" ht="15.75">
      <c r="A1130" t="str">
        <f t="shared" si="17"/>
        <v>HautemorgesSolaireCHAUFF</v>
      </c>
      <c r="B1130" s="148">
        <v>5656</v>
      </c>
      <c r="C1130" s="148" t="s">
        <v>887</v>
      </c>
      <c r="D1130" s="148" t="s">
        <v>240</v>
      </c>
      <c r="E1130" s="148">
        <v>47100</v>
      </c>
      <c r="F1130" t="s">
        <v>249</v>
      </c>
      <c r="G1130"/>
    </row>
    <row r="1131" spans="1:7" ht="15.75">
      <c r="A1131" t="str">
        <f t="shared" si="17"/>
        <v>HenniezBoisCHAUFF</v>
      </c>
      <c r="B1131" s="148">
        <v>5819</v>
      </c>
      <c r="C1131" s="148" t="s">
        <v>480</v>
      </c>
      <c r="D1131" s="148" t="s">
        <v>66</v>
      </c>
      <c r="E1131" s="148">
        <v>278830.93333332997</v>
      </c>
      <c r="F1131" t="s">
        <v>249</v>
      </c>
      <c r="G1131"/>
    </row>
    <row r="1132" spans="1:7" ht="15.75">
      <c r="A1132" t="str">
        <f t="shared" si="17"/>
        <v>HenniezCharbonCHAUFF</v>
      </c>
      <c r="B1132" s="148">
        <v>5819</v>
      </c>
      <c r="C1132" s="148" t="s">
        <v>480</v>
      </c>
      <c r="D1132" s="148" t="s">
        <v>695</v>
      </c>
      <c r="E1132" s="148" t="e">
        <v>#N/A</v>
      </c>
      <c r="F1132" t="s">
        <v>249</v>
      </c>
      <c r="G1132"/>
    </row>
    <row r="1133" spans="1:7" ht="15.75">
      <c r="A1133" t="str">
        <f t="shared" si="17"/>
        <v>HenniezElectricitéCHAUFF</v>
      </c>
      <c r="B1133" s="148">
        <v>5819</v>
      </c>
      <c r="C1133" s="148" t="s">
        <v>480</v>
      </c>
      <c r="D1133" s="148" t="s">
        <v>97</v>
      </c>
      <c r="E1133" s="148">
        <v>355936.45161290001</v>
      </c>
      <c r="F1133" t="s">
        <v>249</v>
      </c>
      <c r="G1133"/>
    </row>
    <row r="1134" spans="1:7" ht="15.75">
      <c r="A1134" t="str">
        <f t="shared" si="17"/>
        <v>HenniezGazCHAUFF</v>
      </c>
      <c r="B1134" s="148">
        <v>5819</v>
      </c>
      <c r="C1134" s="148" t="s">
        <v>480</v>
      </c>
      <c r="D1134" s="148" t="s">
        <v>239</v>
      </c>
      <c r="E1134" s="148">
        <v>2324945.4148606998</v>
      </c>
      <c r="F1134" t="s">
        <v>249</v>
      </c>
      <c r="G1134"/>
    </row>
    <row r="1135" spans="1:7" ht="15.75">
      <c r="A1135" t="str">
        <f t="shared" si="17"/>
        <v>HenniezMazoutCHAUFF</v>
      </c>
      <c r="B1135" s="148">
        <v>5819</v>
      </c>
      <c r="C1135" s="148" t="s">
        <v>480</v>
      </c>
      <c r="D1135" s="148" t="s">
        <v>70</v>
      </c>
      <c r="E1135" s="148">
        <v>2218559.1764705996</v>
      </c>
      <c r="F1135" t="s">
        <v>249</v>
      </c>
      <c r="G1135"/>
    </row>
    <row r="1136" spans="1:7" ht="15.75">
      <c r="A1136" t="str">
        <f t="shared" si="17"/>
        <v>HenniezNon renseignéCHAUFF</v>
      </c>
      <c r="B1136" s="148">
        <v>5819</v>
      </c>
      <c r="C1136" s="148" t="s">
        <v>480</v>
      </c>
      <c r="D1136" s="148" t="s">
        <v>696</v>
      </c>
      <c r="E1136" s="148">
        <v>0</v>
      </c>
      <c r="F1136" t="s">
        <v>249</v>
      </c>
      <c r="G1136"/>
    </row>
    <row r="1137" spans="1:7" ht="15.75">
      <c r="A1137" t="str">
        <f t="shared" si="17"/>
        <v>HenniezPACCHAUFF</v>
      </c>
      <c r="B1137" s="148">
        <v>5819</v>
      </c>
      <c r="C1137" s="148" t="s">
        <v>480</v>
      </c>
      <c r="D1137" s="148" t="s">
        <v>69</v>
      </c>
      <c r="E1137" s="148">
        <v>69624.44315620001</v>
      </c>
      <c r="F1137" t="s">
        <v>249</v>
      </c>
      <c r="G1137"/>
    </row>
    <row r="1138" spans="1:7" ht="15.75">
      <c r="A1138" t="str">
        <f t="shared" si="17"/>
        <v>HenniezCADCHAUFF</v>
      </c>
      <c r="B1138" s="148">
        <v>5819</v>
      </c>
      <c r="C1138" s="148" t="s">
        <v>480</v>
      </c>
      <c r="D1138" s="148" t="s">
        <v>242</v>
      </c>
      <c r="E1138" s="148" t="e">
        <v>#N/A</v>
      </c>
      <c r="F1138" t="s">
        <v>249</v>
      </c>
      <c r="G1138"/>
    </row>
    <row r="1139" spans="1:7" ht="15.75">
      <c r="A1139" t="str">
        <f t="shared" si="17"/>
        <v>HenniezSolaireCHAUFF</v>
      </c>
      <c r="B1139" s="148">
        <v>5819</v>
      </c>
      <c r="C1139" s="148" t="s">
        <v>480</v>
      </c>
      <c r="D1139" s="148" t="s">
        <v>240</v>
      </c>
      <c r="E1139" s="148" t="e">
        <v>#N/A</v>
      </c>
      <c r="F1139" t="s">
        <v>249</v>
      </c>
      <c r="G1139"/>
    </row>
    <row r="1140" spans="1:7" ht="15.75">
      <c r="A1140" t="str">
        <f t="shared" si="17"/>
        <v>HermenchesBoisCHAUFF</v>
      </c>
      <c r="B1140" s="148">
        <v>5673</v>
      </c>
      <c r="C1140" s="148" t="s">
        <v>481</v>
      </c>
      <c r="D1140" s="148" t="s">
        <v>66</v>
      </c>
      <c r="E1140" s="148">
        <v>699939.73333333002</v>
      </c>
      <c r="F1140" t="s">
        <v>249</v>
      </c>
      <c r="G1140"/>
    </row>
    <row r="1141" spans="1:7" ht="15.75">
      <c r="A1141" t="str">
        <f t="shared" si="17"/>
        <v>HermenchesElectricitéCHAUFF</v>
      </c>
      <c r="B1141" s="148">
        <v>5673</v>
      </c>
      <c r="C1141" s="148" t="s">
        <v>481</v>
      </c>
      <c r="D1141" s="148" t="s">
        <v>97</v>
      </c>
      <c r="E1141" s="148">
        <v>287600.21505375998</v>
      </c>
      <c r="F1141" t="s">
        <v>249</v>
      </c>
      <c r="G1141"/>
    </row>
    <row r="1142" spans="1:7" ht="15.75">
      <c r="A1142" t="str">
        <f t="shared" si="17"/>
        <v>HermenchesGazCHAUFF</v>
      </c>
      <c r="B1142" s="148">
        <v>5673</v>
      </c>
      <c r="C1142" s="148" t="s">
        <v>481</v>
      </c>
      <c r="D1142" s="148" t="s">
        <v>239</v>
      </c>
      <c r="E1142" s="148">
        <v>187295.94117647002</v>
      </c>
      <c r="F1142" t="s">
        <v>249</v>
      </c>
      <c r="G1142"/>
    </row>
    <row r="1143" spans="1:7" ht="15.75">
      <c r="A1143" t="str">
        <f t="shared" si="17"/>
        <v>HermenchesMazoutCHAUFF</v>
      </c>
      <c r="B1143" s="148">
        <v>5673</v>
      </c>
      <c r="C1143" s="148" t="s">
        <v>481</v>
      </c>
      <c r="D1143" s="148" t="s">
        <v>70</v>
      </c>
      <c r="E1143" s="148">
        <v>3245955.2941176705</v>
      </c>
      <c r="F1143" t="s">
        <v>249</v>
      </c>
      <c r="G1143"/>
    </row>
    <row r="1144" spans="1:7" ht="15.75">
      <c r="A1144" t="str">
        <f t="shared" si="17"/>
        <v>HermenchesNon renseignéCHAUFF</v>
      </c>
      <c r="B1144" s="148">
        <v>5673</v>
      </c>
      <c r="C1144" s="148" t="s">
        <v>481</v>
      </c>
      <c r="D1144" s="148" t="s">
        <v>696</v>
      </c>
      <c r="E1144" s="148">
        <v>0</v>
      </c>
      <c r="F1144" t="s">
        <v>249</v>
      </c>
      <c r="G1144"/>
    </row>
    <row r="1145" spans="1:7" ht="15.75">
      <c r="A1145" t="str">
        <f t="shared" si="17"/>
        <v>HermenchesPACCHAUFF</v>
      </c>
      <c r="B1145" s="148">
        <v>5673</v>
      </c>
      <c r="C1145" s="148" t="s">
        <v>481</v>
      </c>
      <c r="D1145" s="148" t="s">
        <v>69</v>
      </c>
      <c r="E1145" s="148">
        <v>137314.01225910001</v>
      </c>
      <c r="F1145" t="s">
        <v>249</v>
      </c>
      <c r="G1145"/>
    </row>
    <row r="1146" spans="1:7" ht="15.75">
      <c r="A1146" t="str">
        <f t="shared" si="17"/>
        <v>HermenchesCharbonCHAUFF</v>
      </c>
      <c r="B1146" s="148">
        <v>5673</v>
      </c>
      <c r="C1146" s="148" t="s">
        <v>481</v>
      </c>
      <c r="D1146" s="148" t="s">
        <v>695</v>
      </c>
      <c r="E1146" s="148" t="e">
        <v>#N/A</v>
      </c>
      <c r="F1146" t="s">
        <v>249</v>
      </c>
      <c r="G1146"/>
    </row>
    <row r="1147" spans="1:7" ht="15.75">
      <c r="A1147" t="str">
        <f t="shared" si="17"/>
        <v>HermenchesSolaireCHAUFF</v>
      </c>
      <c r="B1147" s="148">
        <v>5673</v>
      </c>
      <c r="C1147" s="148" t="s">
        <v>481</v>
      </c>
      <c r="D1147" s="148" t="s">
        <v>240</v>
      </c>
      <c r="E1147" s="148" t="e">
        <v>#N/A</v>
      </c>
      <c r="F1147" t="s">
        <v>249</v>
      </c>
      <c r="G1147"/>
    </row>
    <row r="1148" spans="1:7" ht="15.75">
      <c r="A1148" t="str">
        <f t="shared" si="17"/>
        <v>JongnyBoisCHAUFF</v>
      </c>
      <c r="B1148" s="148">
        <v>5885</v>
      </c>
      <c r="C1148" s="148" t="s">
        <v>482</v>
      </c>
      <c r="D1148" s="148" t="s">
        <v>66</v>
      </c>
      <c r="E1148" s="148">
        <v>2560667.5325489896</v>
      </c>
      <c r="F1148" t="s">
        <v>249</v>
      </c>
      <c r="G1148"/>
    </row>
    <row r="1149" spans="1:7" ht="15.75">
      <c r="A1149" t="str">
        <f t="shared" si="17"/>
        <v>JongnyElectricitéCHAUFF</v>
      </c>
      <c r="B1149" s="148">
        <v>5885</v>
      </c>
      <c r="C1149" s="148" t="s">
        <v>482</v>
      </c>
      <c r="D1149" s="148" t="s">
        <v>97</v>
      </c>
      <c r="E1149" s="148">
        <v>1411508.1792114601</v>
      </c>
      <c r="F1149" t="s">
        <v>249</v>
      </c>
      <c r="G1149"/>
    </row>
    <row r="1150" spans="1:7" ht="15.75">
      <c r="A1150" t="str">
        <f t="shared" si="17"/>
        <v>JongnyGazCHAUFF</v>
      </c>
      <c r="B1150" s="148">
        <v>5885</v>
      </c>
      <c r="C1150" s="148" t="s">
        <v>482</v>
      </c>
      <c r="D1150" s="148" t="s">
        <v>239</v>
      </c>
      <c r="E1150" s="148">
        <v>9058797.6842104848</v>
      </c>
      <c r="F1150" t="s">
        <v>249</v>
      </c>
      <c r="G1150"/>
    </row>
    <row r="1151" spans="1:7" ht="15.75">
      <c r="A1151" t="str">
        <f t="shared" si="17"/>
        <v>JongnyMazoutCHAUFF</v>
      </c>
      <c r="B1151" s="148">
        <v>5885</v>
      </c>
      <c r="C1151" s="148" t="s">
        <v>482</v>
      </c>
      <c r="D1151" s="148" t="s">
        <v>70</v>
      </c>
      <c r="E1151" s="148">
        <v>5769583.176470641</v>
      </c>
      <c r="F1151" t="s">
        <v>249</v>
      </c>
      <c r="G1151"/>
    </row>
    <row r="1152" spans="1:7" ht="15.75">
      <c r="A1152" t="str">
        <f t="shared" si="17"/>
        <v>JongnyNon renseignéCHAUFF</v>
      </c>
      <c r="B1152" s="148">
        <v>5885</v>
      </c>
      <c r="C1152" s="148" t="s">
        <v>482</v>
      </c>
      <c r="D1152" s="148" t="s">
        <v>696</v>
      </c>
      <c r="E1152" s="148" t="e">
        <v>#N/A</v>
      </c>
      <c r="F1152" t="s">
        <v>249</v>
      </c>
      <c r="G1152"/>
    </row>
    <row r="1153" spans="1:7" ht="15.75">
      <c r="A1153" t="str">
        <f t="shared" si="17"/>
        <v>JongnyPACCHAUFF</v>
      </c>
      <c r="B1153" s="148">
        <v>5885</v>
      </c>
      <c r="C1153" s="148" t="s">
        <v>482</v>
      </c>
      <c r="D1153" s="148" t="s">
        <v>69</v>
      </c>
      <c r="E1153" s="148">
        <v>404909.83565207</v>
      </c>
      <c r="F1153" t="s">
        <v>249</v>
      </c>
      <c r="G1153"/>
    </row>
    <row r="1154" spans="1:7" ht="15.75">
      <c r="A1154" t="str">
        <f t="shared" si="17"/>
        <v>JongnySolaireCHAUFF</v>
      </c>
      <c r="B1154" s="148">
        <v>5885</v>
      </c>
      <c r="C1154" s="148" t="s">
        <v>482</v>
      </c>
      <c r="D1154" s="148" t="s">
        <v>240</v>
      </c>
      <c r="E1154" s="148">
        <v>27200</v>
      </c>
      <c r="F1154" t="s">
        <v>249</v>
      </c>
      <c r="G1154"/>
    </row>
    <row r="1155" spans="1:7" ht="15.75">
      <c r="A1155" t="str">
        <f t="shared" si="17"/>
        <v>Jorat-MenthueAutre agent énergétiqueCHAUFF</v>
      </c>
      <c r="B1155" s="148">
        <v>5804</v>
      </c>
      <c r="C1155" s="148" t="s">
        <v>483</v>
      </c>
      <c r="D1155" s="148" t="s">
        <v>245</v>
      </c>
      <c r="E1155" s="148" t="e">
        <v>#N/A</v>
      </c>
      <c r="F1155" t="s">
        <v>249</v>
      </c>
      <c r="G1155"/>
    </row>
    <row r="1156" spans="1:7" ht="15.75">
      <c r="A1156" t="str">
        <f t="shared" si="17"/>
        <v>Jorat-MenthueBoisCHAUFF</v>
      </c>
      <c r="B1156" s="148">
        <v>5804</v>
      </c>
      <c r="C1156" s="148" t="s">
        <v>483</v>
      </c>
      <c r="D1156" s="148" t="s">
        <v>66</v>
      </c>
      <c r="E1156" s="148">
        <v>2580897.7196078501</v>
      </c>
      <c r="F1156" t="s">
        <v>249</v>
      </c>
      <c r="G1156"/>
    </row>
    <row r="1157" spans="1:7" ht="15.75">
      <c r="A1157" t="str">
        <f t="shared" si="17"/>
        <v>Jorat-MenthueCADCHAUFF</v>
      </c>
      <c r="B1157" s="148">
        <v>5804</v>
      </c>
      <c r="C1157" s="148" t="s">
        <v>483</v>
      </c>
      <c r="D1157" s="148" t="s">
        <v>242</v>
      </c>
      <c r="E1157" s="148">
        <v>540353.26</v>
      </c>
      <c r="F1157" t="s">
        <v>249</v>
      </c>
      <c r="G1157"/>
    </row>
    <row r="1158" spans="1:7" ht="15.75">
      <c r="A1158" t="str">
        <f t="shared" si="17"/>
        <v>Jorat-MenthueElectricitéCHAUFF</v>
      </c>
      <c r="B1158" s="148">
        <v>5804</v>
      </c>
      <c r="C1158" s="148" t="s">
        <v>483</v>
      </c>
      <c r="D1158" s="148" t="s">
        <v>97</v>
      </c>
      <c r="E1158" s="148">
        <v>2197952.4086021502</v>
      </c>
      <c r="F1158" t="s">
        <v>249</v>
      </c>
      <c r="G1158"/>
    </row>
    <row r="1159" spans="1:7" ht="15.75">
      <c r="A1159" t="str">
        <f t="shared" si="17"/>
        <v>Jorat-MenthueGazCHAUFF</v>
      </c>
      <c r="B1159" s="148">
        <v>5804</v>
      </c>
      <c r="C1159" s="148" t="s">
        <v>483</v>
      </c>
      <c r="D1159" s="148" t="s">
        <v>239</v>
      </c>
      <c r="E1159" s="148">
        <v>2037133.1617337703</v>
      </c>
      <c r="F1159" t="s">
        <v>249</v>
      </c>
      <c r="G1159"/>
    </row>
    <row r="1160" spans="1:7" ht="15.75">
      <c r="A1160" t="str">
        <f t="shared" si="17"/>
        <v>Jorat-MenthueMazoutCHAUFF</v>
      </c>
      <c r="B1160" s="148">
        <v>5804</v>
      </c>
      <c r="C1160" s="148" t="s">
        <v>483</v>
      </c>
      <c r="D1160" s="148" t="s">
        <v>70</v>
      </c>
      <c r="E1160" s="148">
        <v>9102725.1176470537</v>
      </c>
      <c r="F1160" t="s">
        <v>249</v>
      </c>
      <c r="G1160"/>
    </row>
    <row r="1161" spans="1:7" ht="15.75">
      <c r="A1161" t="str">
        <f t="shared" si="17"/>
        <v>Jorat-MenthueNon renseignéCHAUFF</v>
      </c>
      <c r="B1161" s="148">
        <v>5804</v>
      </c>
      <c r="C1161" s="148" t="s">
        <v>483</v>
      </c>
      <c r="D1161" s="148" t="s">
        <v>696</v>
      </c>
      <c r="E1161" s="148">
        <v>0</v>
      </c>
      <c r="F1161" t="s">
        <v>249</v>
      </c>
      <c r="G1161"/>
    </row>
    <row r="1162" spans="1:7" ht="15.75">
      <c r="A1162" t="str">
        <f t="shared" si="17"/>
        <v>Jorat-MenthuePACCHAUFF</v>
      </c>
      <c r="B1162" s="148">
        <v>5804</v>
      </c>
      <c r="C1162" s="148" t="s">
        <v>483</v>
      </c>
      <c r="D1162" s="148" t="s">
        <v>69</v>
      </c>
      <c r="E1162" s="148">
        <v>563282.14993507008</v>
      </c>
      <c r="F1162" t="s">
        <v>249</v>
      </c>
      <c r="G1162"/>
    </row>
    <row r="1163" spans="1:7" ht="15.75">
      <c r="A1163" t="str">
        <f t="shared" ref="A1163:A1226" si="18">_xlfn.CONCAT(C1163,D1163,F1163)</f>
        <v>Jorat-MenthueSolaireCHAUFF</v>
      </c>
      <c r="B1163" s="148">
        <v>5804</v>
      </c>
      <c r="C1163" s="148" t="s">
        <v>483</v>
      </c>
      <c r="D1163" s="148" t="s">
        <v>240</v>
      </c>
      <c r="E1163" s="148">
        <v>109980.8</v>
      </c>
      <c r="F1163" t="s">
        <v>249</v>
      </c>
      <c r="G1163"/>
    </row>
    <row r="1164" spans="1:7" ht="15.75">
      <c r="A1164" t="str">
        <f t="shared" si="18"/>
        <v>Jorat-MézièresAutre agent énergétiqueCHAUFF</v>
      </c>
      <c r="B1164" s="148">
        <v>5806</v>
      </c>
      <c r="C1164" s="148" t="s">
        <v>639</v>
      </c>
      <c r="D1164" s="148" t="s">
        <v>245</v>
      </c>
      <c r="E1164" s="148">
        <v>125895.52941177</v>
      </c>
      <c r="F1164" t="s">
        <v>249</v>
      </c>
      <c r="G1164"/>
    </row>
    <row r="1165" spans="1:7" ht="15.75">
      <c r="A1165" t="str">
        <f t="shared" si="18"/>
        <v>Jorat-MézièresBoisCHAUFF</v>
      </c>
      <c r="B1165" s="148">
        <v>5806</v>
      </c>
      <c r="C1165" s="148" t="s">
        <v>639</v>
      </c>
      <c r="D1165" s="148" t="s">
        <v>66</v>
      </c>
      <c r="E1165" s="148">
        <v>3714877.9286274402</v>
      </c>
      <c r="F1165" t="s">
        <v>249</v>
      </c>
      <c r="G1165"/>
    </row>
    <row r="1166" spans="1:7" ht="15.75">
      <c r="A1166" t="str">
        <f t="shared" si="18"/>
        <v>Jorat-MézièresCADCHAUFF</v>
      </c>
      <c r="B1166" s="148">
        <v>5806</v>
      </c>
      <c r="C1166" s="148" t="s">
        <v>639</v>
      </c>
      <c r="D1166" s="148" t="s">
        <v>242</v>
      </c>
      <c r="E1166" s="148">
        <v>1605607</v>
      </c>
      <c r="F1166" t="s">
        <v>249</v>
      </c>
      <c r="G1166"/>
    </row>
    <row r="1167" spans="1:7" ht="15.75">
      <c r="A1167" t="str">
        <f t="shared" si="18"/>
        <v>Jorat-MézièresElectricitéCHAUFF</v>
      </c>
      <c r="B1167" s="148">
        <v>5806</v>
      </c>
      <c r="C1167" s="148" t="s">
        <v>639</v>
      </c>
      <c r="D1167" s="148" t="s">
        <v>97</v>
      </c>
      <c r="E1167" s="148">
        <v>3309897.2580644991</v>
      </c>
      <c r="F1167" t="s">
        <v>249</v>
      </c>
      <c r="G1167"/>
    </row>
    <row r="1168" spans="1:7" ht="15.75">
      <c r="A1168" t="str">
        <f t="shared" si="18"/>
        <v>Jorat-MézièresGazCHAUFF</v>
      </c>
      <c r="B1168" s="148">
        <v>5806</v>
      </c>
      <c r="C1168" s="148" t="s">
        <v>639</v>
      </c>
      <c r="D1168" s="148" t="s">
        <v>239</v>
      </c>
      <c r="E1168" s="148">
        <v>5507566.8374612704</v>
      </c>
      <c r="F1168" t="s">
        <v>249</v>
      </c>
      <c r="G1168"/>
    </row>
    <row r="1169" spans="1:7" ht="15.75">
      <c r="A1169" t="str">
        <f t="shared" si="18"/>
        <v>Jorat-MézièresMazoutCHAUFF</v>
      </c>
      <c r="B1169" s="148">
        <v>5806</v>
      </c>
      <c r="C1169" s="148" t="s">
        <v>639</v>
      </c>
      <c r="D1169" s="148" t="s">
        <v>70</v>
      </c>
      <c r="E1169" s="148">
        <v>14380978.40000006</v>
      </c>
      <c r="F1169" t="s">
        <v>249</v>
      </c>
      <c r="G1169"/>
    </row>
    <row r="1170" spans="1:7" ht="15.75">
      <c r="A1170" t="str">
        <f t="shared" si="18"/>
        <v>Jorat-MézièresNon renseignéCHAUFF</v>
      </c>
      <c r="B1170" s="148">
        <v>5806</v>
      </c>
      <c r="C1170" s="148" t="s">
        <v>639</v>
      </c>
      <c r="D1170" s="148" t="s">
        <v>696</v>
      </c>
      <c r="E1170" s="148">
        <v>0</v>
      </c>
      <c r="F1170" t="s">
        <v>249</v>
      </c>
      <c r="G1170"/>
    </row>
    <row r="1171" spans="1:7" ht="15.75">
      <c r="A1171" t="str">
        <f t="shared" si="18"/>
        <v>Jorat-MézièresPACCHAUFF</v>
      </c>
      <c r="B1171" s="148">
        <v>5806</v>
      </c>
      <c r="C1171" s="148" t="s">
        <v>639</v>
      </c>
      <c r="D1171" s="148" t="s">
        <v>69</v>
      </c>
      <c r="E1171" s="148">
        <v>910730.06279151968</v>
      </c>
      <c r="F1171" t="s">
        <v>249</v>
      </c>
      <c r="G1171"/>
    </row>
    <row r="1172" spans="1:7" ht="15.75">
      <c r="A1172" t="str">
        <f t="shared" si="18"/>
        <v>Jorat-MézièresSolaireCHAUFF</v>
      </c>
      <c r="B1172" s="148">
        <v>5806</v>
      </c>
      <c r="C1172" s="148" t="s">
        <v>639</v>
      </c>
      <c r="D1172" s="148" t="s">
        <v>240</v>
      </c>
      <c r="E1172" s="148">
        <v>6520</v>
      </c>
      <c r="F1172" t="s">
        <v>249</v>
      </c>
      <c r="G1172"/>
    </row>
    <row r="1173" spans="1:7" ht="15.75">
      <c r="A1173" t="str">
        <f t="shared" si="18"/>
        <v>Jouxtens-MézeryBoisCHAUFF</v>
      </c>
      <c r="B1173" s="148">
        <v>5585</v>
      </c>
      <c r="C1173" s="148" t="s">
        <v>687</v>
      </c>
      <c r="D1173" s="148" t="s">
        <v>66</v>
      </c>
      <c r="E1173" s="148">
        <v>248540.36078432004</v>
      </c>
      <c r="F1173" t="s">
        <v>249</v>
      </c>
      <c r="G1173"/>
    </row>
    <row r="1174" spans="1:7" ht="15.75">
      <c r="A1174" t="str">
        <f t="shared" si="18"/>
        <v>Jouxtens-MézeryCADCHAUFF</v>
      </c>
      <c r="B1174" s="148">
        <v>5585</v>
      </c>
      <c r="C1174" s="148" t="s">
        <v>687</v>
      </c>
      <c r="D1174" s="148" t="s">
        <v>242</v>
      </c>
      <c r="E1174" s="148">
        <v>34164</v>
      </c>
      <c r="F1174" t="s">
        <v>249</v>
      </c>
      <c r="G1174"/>
    </row>
    <row r="1175" spans="1:7" ht="15.75">
      <c r="A1175" t="str">
        <f t="shared" si="18"/>
        <v>Jouxtens-MézeryElectricitéCHAUFF</v>
      </c>
      <c r="B1175" s="148">
        <v>5585</v>
      </c>
      <c r="C1175" s="148" t="s">
        <v>687</v>
      </c>
      <c r="D1175" s="148" t="s">
        <v>97</v>
      </c>
      <c r="E1175" s="148">
        <v>1971436.3440860498</v>
      </c>
      <c r="F1175" t="s">
        <v>249</v>
      </c>
      <c r="G1175"/>
    </row>
    <row r="1176" spans="1:7" ht="15.75">
      <c r="A1176" t="str">
        <f t="shared" si="18"/>
        <v>Jouxtens-MézeryGazCHAUFF</v>
      </c>
      <c r="B1176" s="148">
        <v>5585</v>
      </c>
      <c r="C1176" s="148" t="s">
        <v>687</v>
      </c>
      <c r="D1176" s="148" t="s">
        <v>239</v>
      </c>
      <c r="E1176" s="148">
        <v>6614897.2972136056</v>
      </c>
      <c r="F1176" t="s">
        <v>249</v>
      </c>
      <c r="G1176"/>
    </row>
    <row r="1177" spans="1:7" ht="15.75">
      <c r="A1177" t="str">
        <f t="shared" si="18"/>
        <v>Jouxtens-MézeryMazoutCHAUFF</v>
      </c>
      <c r="B1177" s="148">
        <v>5585</v>
      </c>
      <c r="C1177" s="148" t="s">
        <v>687</v>
      </c>
      <c r="D1177" s="148" t="s">
        <v>70</v>
      </c>
      <c r="E1177" s="148">
        <v>5003823.6470588511</v>
      </c>
      <c r="F1177" t="s">
        <v>249</v>
      </c>
      <c r="G1177"/>
    </row>
    <row r="1178" spans="1:7" ht="15.75">
      <c r="A1178" t="str">
        <f t="shared" si="18"/>
        <v>Jouxtens-MézeryNon renseignéCHAUFF</v>
      </c>
      <c r="B1178" s="148">
        <v>5585</v>
      </c>
      <c r="C1178" s="148" t="s">
        <v>687</v>
      </c>
      <c r="D1178" s="148" t="s">
        <v>696</v>
      </c>
      <c r="E1178" s="148">
        <v>0</v>
      </c>
      <c r="F1178" t="s">
        <v>249</v>
      </c>
      <c r="G1178"/>
    </row>
    <row r="1179" spans="1:7" ht="15.75">
      <c r="A1179" t="str">
        <f t="shared" si="18"/>
        <v>Jouxtens-MézeryPACCHAUFF</v>
      </c>
      <c r="B1179" s="148">
        <v>5585</v>
      </c>
      <c r="C1179" s="148" t="s">
        <v>687</v>
      </c>
      <c r="D1179" s="148" t="s">
        <v>69</v>
      </c>
      <c r="E1179" s="148">
        <v>692772.78346062987</v>
      </c>
      <c r="F1179" t="s">
        <v>249</v>
      </c>
      <c r="G1179"/>
    </row>
    <row r="1180" spans="1:7" ht="15.75">
      <c r="A1180" t="str">
        <f t="shared" si="18"/>
        <v>Jouxtens-MézerySolaireCHAUFF</v>
      </c>
      <c r="B1180" s="148">
        <v>5585</v>
      </c>
      <c r="C1180" s="148" t="s">
        <v>687</v>
      </c>
      <c r="D1180" s="148" t="s">
        <v>240</v>
      </c>
      <c r="E1180" s="148">
        <v>22288</v>
      </c>
      <c r="F1180" t="s">
        <v>249</v>
      </c>
      <c r="G1180"/>
    </row>
    <row r="1181" spans="1:7" ht="15.75">
      <c r="A1181" t="str">
        <f t="shared" si="18"/>
        <v>JuriensBoisCHAUFF</v>
      </c>
      <c r="B1181" s="148">
        <v>5754</v>
      </c>
      <c r="C1181" s="148" t="s">
        <v>484</v>
      </c>
      <c r="D1181" s="148" t="s">
        <v>66</v>
      </c>
      <c r="E1181" s="148">
        <v>1031823.0745098201</v>
      </c>
      <c r="F1181" t="s">
        <v>249</v>
      </c>
      <c r="G1181"/>
    </row>
    <row r="1182" spans="1:7" ht="15.75">
      <c r="A1182" t="str">
        <f t="shared" si="18"/>
        <v>JuriensCADCHAUFF</v>
      </c>
      <c r="B1182" s="148">
        <v>5754</v>
      </c>
      <c r="C1182" s="148" t="s">
        <v>484</v>
      </c>
      <c r="D1182" s="148" t="s">
        <v>242</v>
      </c>
      <c r="E1182" s="148">
        <v>524086.39999999997</v>
      </c>
      <c r="F1182" t="s">
        <v>249</v>
      </c>
      <c r="G1182"/>
    </row>
    <row r="1183" spans="1:7" ht="15.75">
      <c r="A1183" t="str">
        <f t="shared" si="18"/>
        <v>JuriensElectricitéCHAUFF</v>
      </c>
      <c r="B1183" s="148">
        <v>5754</v>
      </c>
      <c r="C1183" s="148" t="s">
        <v>484</v>
      </c>
      <c r="D1183" s="148" t="s">
        <v>97</v>
      </c>
      <c r="E1183" s="148">
        <v>578020.68817205995</v>
      </c>
      <c r="F1183" t="s">
        <v>249</v>
      </c>
      <c r="G1183"/>
    </row>
    <row r="1184" spans="1:7" ht="15.75">
      <c r="A1184" t="str">
        <f t="shared" si="18"/>
        <v>JuriensGazCHAUFF</v>
      </c>
      <c r="B1184" s="148">
        <v>5754</v>
      </c>
      <c r="C1184" s="148" t="s">
        <v>484</v>
      </c>
      <c r="D1184" s="148" t="s">
        <v>239</v>
      </c>
      <c r="E1184" s="148">
        <v>60607.058823530002</v>
      </c>
      <c r="F1184" t="s">
        <v>249</v>
      </c>
      <c r="G1184"/>
    </row>
    <row r="1185" spans="1:7" ht="15.75">
      <c r="A1185" t="str">
        <f t="shared" si="18"/>
        <v>JuriensMazoutCHAUFF</v>
      </c>
      <c r="B1185" s="148">
        <v>5754</v>
      </c>
      <c r="C1185" s="148" t="s">
        <v>484</v>
      </c>
      <c r="D1185" s="148" t="s">
        <v>70</v>
      </c>
      <c r="E1185" s="148">
        <v>2181434.5882353005</v>
      </c>
      <c r="F1185" t="s">
        <v>249</v>
      </c>
      <c r="G1185"/>
    </row>
    <row r="1186" spans="1:7" ht="15.75">
      <c r="A1186" t="str">
        <f t="shared" si="18"/>
        <v>JuriensNon renseignéCHAUFF</v>
      </c>
      <c r="B1186" s="148">
        <v>5754</v>
      </c>
      <c r="C1186" s="148" t="s">
        <v>484</v>
      </c>
      <c r="D1186" s="148" t="s">
        <v>696</v>
      </c>
      <c r="E1186" s="148">
        <v>0</v>
      </c>
      <c r="F1186" t="s">
        <v>249</v>
      </c>
      <c r="G1186"/>
    </row>
    <row r="1187" spans="1:7" ht="15.75">
      <c r="A1187" t="str">
        <f t="shared" si="18"/>
        <v>JuriensPACCHAUFF</v>
      </c>
      <c r="B1187" s="148">
        <v>5754</v>
      </c>
      <c r="C1187" s="148" t="s">
        <v>484</v>
      </c>
      <c r="D1187" s="148" t="s">
        <v>69</v>
      </c>
      <c r="E1187" s="148">
        <v>86583.725209080003</v>
      </c>
      <c r="F1187" t="s">
        <v>249</v>
      </c>
      <c r="G1187"/>
    </row>
    <row r="1188" spans="1:7" ht="15.75">
      <c r="A1188" t="str">
        <f t="shared" si="18"/>
        <v>JuriensSolaireCHAUFF</v>
      </c>
      <c r="B1188" s="148">
        <v>5754</v>
      </c>
      <c r="C1188" s="148" t="s">
        <v>484</v>
      </c>
      <c r="D1188" s="148" t="s">
        <v>240</v>
      </c>
      <c r="E1188" s="148" t="e">
        <v>#N/A</v>
      </c>
      <c r="F1188" t="s">
        <v>249</v>
      </c>
      <c r="G1188"/>
    </row>
    <row r="1189" spans="1:7" ht="15.75">
      <c r="A1189" t="str">
        <f t="shared" si="18"/>
        <v>L'AbbayeAutre agent énergétiqueCHAUFF</v>
      </c>
      <c r="B1189" s="148">
        <v>5871</v>
      </c>
      <c r="C1189" s="148" t="s">
        <v>688</v>
      </c>
      <c r="D1189" s="148" t="s">
        <v>245</v>
      </c>
      <c r="E1189" s="148">
        <v>12468.705882349999</v>
      </c>
      <c r="F1189" t="s">
        <v>249</v>
      </c>
      <c r="G1189"/>
    </row>
    <row r="1190" spans="1:7" ht="15.75">
      <c r="A1190" t="str">
        <f t="shared" si="18"/>
        <v>L'AbbayeBoisCHAUFF</v>
      </c>
      <c r="B1190" s="148">
        <v>5871</v>
      </c>
      <c r="C1190" s="148" t="s">
        <v>688</v>
      </c>
      <c r="D1190" s="148" t="s">
        <v>66</v>
      </c>
      <c r="E1190" s="148">
        <v>3613663.1356862797</v>
      </c>
      <c r="F1190" t="s">
        <v>249</v>
      </c>
      <c r="G1190"/>
    </row>
    <row r="1191" spans="1:7" ht="15.75">
      <c r="A1191" t="str">
        <f t="shared" si="18"/>
        <v>L'AbbayeCADCHAUFF</v>
      </c>
      <c r="B1191" s="148">
        <v>5871</v>
      </c>
      <c r="C1191" s="148" t="s">
        <v>688</v>
      </c>
      <c r="D1191" s="148" t="s">
        <v>242</v>
      </c>
      <c r="E1191" s="148">
        <v>19809.800000000003</v>
      </c>
      <c r="F1191" t="s">
        <v>249</v>
      </c>
      <c r="G1191"/>
    </row>
    <row r="1192" spans="1:7" ht="15.75">
      <c r="A1192" t="str">
        <f t="shared" si="18"/>
        <v>L'AbbayeElectricitéCHAUFF</v>
      </c>
      <c r="B1192" s="148">
        <v>5871</v>
      </c>
      <c r="C1192" s="148" t="s">
        <v>688</v>
      </c>
      <c r="D1192" s="148" t="s">
        <v>97</v>
      </c>
      <c r="E1192" s="148">
        <v>1849763.5483870504</v>
      </c>
      <c r="F1192" t="s">
        <v>249</v>
      </c>
      <c r="G1192"/>
    </row>
    <row r="1193" spans="1:7" ht="15.75">
      <c r="A1193" t="str">
        <f t="shared" si="18"/>
        <v>L'AbbayeGazCHAUFF</v>
      </c>
      <c r="B1193" s="148">
        <v>5871</v>
      </c>
      <c r="C1193" s="148" t="s">
        <v>688</v>
      </c>
      <c r="D1193" s="148" t="s">
        <v>239</v>
      </c>
      <c r="E1193" s="148">
        <v>304872.73065014003</v>
      </c>
      <c r="F1193" t="s">
        <v>249</v>
      </c>
      <c r="G1193"/>
    </row>
    <row r="1194" spans="1:7" ht="15.75">
      <c r="A1194" t="str">
        <f t="shared" si="18"/>
        <v>L'AbbayeMazoutCHAUFF</v>
      </c>
      <c r="B1194" s="148">
        <v>5871</v>
      </c>
      <c r="C1194" s="148" t="s">
        <v>688</v>
      </c>
      <c r="D1194" s="148" t="s">
        <v>70</v>
      </c>
      <c r="E1194" s="148">
        <v>16856592.618745942</v>
      </c>
      <c r="F1194" t="s">
        <v>249</v>
      </c>
      <c r="G1194"/>
    </row>
    <row r="1195" spans="1:7" ht="15.75">
      <c r="A1195" t="str">
        <f t="shared" si="18"/>
        <v>L'AbbayeNon renseignéCHAUFF</v>
      </c>
      <c r="B1195" s="148">
        <v>5871</v>
      </c>
      <c r="C1195" s="148" t="s">
        <v>688</v>
      </c>
      <c r="D1195" s="148" t="s">
        <v>696</v>
      </c>
      <c r="E1195" s="148">
        <v>0</v>
      </c>
      <c r="F1195" t="s">
        <v>249</v>
      </c>
      <c r="G1195"/>
    </row>
    <row r="1196" spans="1:7" ht="15.75">
      <c r="A1196" t="str">
        <f t="shared" si="18"/>
        <v>L'AbbayePACCHAUFF</v>
      </c>
      <c r="B1196" s="148">
        <v>5871</v>
      </c>
      <c r="C1196" s="148" t="s">
        <v>688</v>
      </c>
      <c r="D1196" s="148" t="s">
        <v>69</v>
      </c>
      <c r="E1196" s="148">
        <v>443837.93509948993</v>
      </c>
      <c r="F1196" t="s">
        <v>249</v>
      </c>
      <c r="G1196"/>
    </row>
    <row r="1197" spans="1:7" ht="15.75">
      <c r="A1197" t="str">
        <f t="shared" si="18"/>
        <v>L'AbbayeSolaireCHAUFF</v>
      </c>
      <c r="B1197" s="148">
        <v>5871</v>
      </c>
      <c r="C1197" s="148" t="s">
        <v>688</v>
      </c>
      <c r="D1197" s="148" t="s">
        <v>240</v>
      </c>
      <c r="E1197" s="148">
        <v>20064</v>
      </c>
      <c r="F1197" t="s">
        <v>249</v>
      </c>
      <c r="G1197"/>
    </row>
    <row r="1198" spans="1:7" ht="15.75">
      <c r="A1198" t="str">
        <f t="shared" si="18"/>
        <v>L'AbergementBoisCHAUFF</v>
      </c>
      <c r="B1198" s="148">
        <v>5741</v>
      </c>
      <c r="C1198" s="148" t="s">
        <v>637</v>
      </c>
      <c r="D1198" s="148" t="s">
        <v>66</v>
      </c>
      <c r="E1198" s="148">
        <v>682888.31372547999</v>
      </c>
      <c r="F1198" t="s">
        <v>249</v>
      </c>
      <c r="G1198"/>
    </row>
    <row r="1199" spans="1:7" ht="15.75">
      <c r="A1199" t="str">
        <f t="shared" si="18"/>
        <v>L'AbergementCADCHAUFF</v>
      </c>
      <c r="B1199" s="148">
        <v>5741</v>
      </c>
      <c r="C1199" s="148" t="s">
        <v>637</v>
      </c>
      <c r="D1199" s="148" t="s">
        <v>242</v>
      </c>
      <c r="E1199" s="148">
        <v>6706.25</v>
      </c>
      <c r="F1199" t="s">
        <v>249</v>
      </c>
      <c r="G1199"/>
    </row>
    <row r="1200" spans="1:7" ht="15.75">
      <c r="A1200" t="str">
        <f t="shared" si="18"/>
        <v>L'AbergementElectricitéCHAUFF</v>
      </c>
      <c r="B1200" s="148">
        <v>5741</v>
      </c>
      <c r="C1200" s="148" t="s">
        <v>637</v>
      </c>
      <c r="D1200" s="148" t="s">
        <v>97</v>
      </c>
      <c r="E1200" s="148">
        <v>558103.6559139801</v>
      </c>
      <c r="F1200" t="s">
        <v>249</v>
      </c>
      <c r="G1200"/>
    </row>
    <row r="1201" spans="1:7" ht="15.75">
      <c r="A1201" t="str">
        <f t="shared" si="18"/>
        <v>L'AbergementGazCHAUFF</v>
      </c>
      <c r="B1201" s="148">
        <v>5741</v>
      </c>
      <c r="C1201" s="148" t="s">
        <v>637</v>
      </c>
      <c r="D1201" s="148" t="s">
        <v>239</v>
      </c>
      <c r="E1201" s="148">
        <v>1070126.0804953699</v>
      </c>
      <c r="F1201" t="s">
        <v>249</v>
      </c>
      <c r="G1201"/>
    </row>
    <row r="1202" spans="1:7" ht="15.75">
      <c r="A1202" t="str">
        <f t="shared" si="18"/>
        <v>L'AbergementMazoutCHAUFF</v>
      </c>
      <c r="B1202" s="148">
        <v>5741</v>
      </c>
      <c r="C1202" s="148" t="s">
        <v>637</v>
      </c>
      <c r="D1202" s="148" t="s">
        <v>70</v>
      </c>
      <c r="E1202" s="148">
        <v>1759496.7058823702</v>
      </c>
      <c r="F1202" t="s">
        <v>249</v>
      </c>
      <c r="G1202"/>
    </row>
    <row r="1203" spans="1:7" ht="15.75">
      <c r="A1203" t="str">
        <f t="shared" si="18"/>
        <v>L'AbergementNon renseignéCHAUFF</v>
      </c>
      <c r="B1203" s="148">
        <v>5741</v>
      </c>
      <c r="C1203" s="148" t="s">
        <v>637</v>
      </c>
      <c r="D1203" s="148" t="s">
        <v>696</v>
      </c>
      <c r="E1203" s="148">
        <v>0</v>
      </c>
      <c r="F1203" t="s">
        <v>249</v>
      </c>
      <c r="G1203"/>
    </row>
    <row r="1204" spans="1:7" ht="15.75">
      <c r="A1204" t="str">
        <f t="shared" si="18"/>
        <v>L'AbergementPACCHAUFF</v>
      </c>
      <c r="B1204" s="148">
        <v>5741</v>
      </c>
      <c r="C1204" s="148" t="s">
        <v>637</v>
      </c>
      <c r="D1204" s="148" t="s">
        <v>69</v>
      </c>
      <c r="E1204" s="148">
        <v>65345.455716600001</v>
      </c>
      <c r="F1204" t="s">
        <v>249</v>
      </c>
      <c r="G1204"/>
    </row>
    <row r="1205" spans="1:7" ht="15.75">
      <c r="A1205" t="str">
        <f t="shared" si="18"/>
        <v>L'AbergementSolaireCHAUFF</v>
      </c>
      <c r="B1205" s="148">
        <v>5741</v>
      </c>
      <c r="C1205" s="148" t="s">
        <v>637</v>
      </c>
      <c r="D1205" s="148" t="s">
        <v>240</v>
      </c>
      <c r="E1205" s="148" t="e">
        <v>#N/A</v>
      </c>
      <c r="F1205" t="s">
        <v>249</v>
      </c>
      <c r="G1205"/>
    </row>
    <row r="1206" spans="1:7" ht="15.75">
      <c r="A1206" t="str">
        <f t="shared" si="18"/>
        <v>L'IsleAutre agent énergétiqueCHAUFF</v>
      </c>
      <c r="B1206" s="148">
        <v>5486</v>
      </c>
      <c r="C1206" s="148" t="s">
        <v>635</v>
      </c>
      <c r="D1206" s="148" t="s">
        <v>245</v>
      </c>
      <c r="E1206" s="148">
        <v>36392.470588240001</v>
      </c>
      <c r="F1206" t="s">
        <v>249</v>
      </c>
      <c r="G1206"/>
    </row>
    <row r="1207" spans="1:7" ht="15.75">
      <c r="A1207" t="str">
        <f t="shared" si="18"/>
        <v>L'IsleBoisCHAUFF</v>
      </c>
      <c r="B1207" s="148">
        <v>5486</v>
      </c>
      <c r="C1207" s="148" t="s">
        <v>635</v>
      </c>
      <c r="D1207" s="148" t="s">
        <v>66</v>
      </c>
      <c r="E1207" s="148">
        <v>2707629.1043137196</v>
      </c>
      <c r="F1207" t="s">
        <v>249</v>
      </c>
      <c r="G1207"/>
    </row>
    <row r="1208" spans="1:7" ht="15.75">
      <c r="A1208" t="str">
        <f t="shared" si="18"/>
        <v>L'IsleCADCHAUFF</v>
      </c>
      <c r="B1208" s="148">
        <v>5486</v>
      </c>
      <c r="C1208" s="148" t="s">
        <v>635</v>
      </c>
      <c r="D1208" s="148" t="s">
        <v>242</v>
      </c>
      <c r="E1208" s="148">
        <v>558020.80000000005</v>
      </c>
      <c r="F1208" t="s">
        <v>249</v>
      </c>
      <c r="G1208"/>
    </row>
    <row r="1209" spans="1:7" ht="15.75">
      <c r="A1209" t="str">
        <f t="shared" si="18"/>
        <v>L'IsleElectricitéCHAUFF</v>
      </c>
      <c r="B1209" s="148">
        <v>5486</v>
      </c>
      <c r="C1209" s="148" t="s">
        <v>635</v>
      </c>
      <c r="D1209" s="148" t="s">
        <v>97</v>
      </c>
      <c r="E1209" s="148">
        <v>2813950.7526881797</v>
      </c>
      <c r="F1209" t="s">
        <v>249</v>
      </c>
      <c r="G1209"/>
    </row>
    <row r="1210" spans="1:7" ht="15.75">
      <c r="A1210" t="str">
        <f t="shared" si="18"/>
        <v>L'IsleGazCHAUFF</v>
      </c>
      <c r="B1210" s="148">
        <v>5486</v>
      </c>
      <c r="C1210" s="148" t="s">
        <v>635</v>
      </c>
      <c r="D1210" s="148" t="s">
        <v>239</v>
      </c>
      <c r="E1210" s="148">
        <v>2748093.479876169</v>
      </c>
      <c r="F1210" t="s">
        <v>249</v>
      </c>
      <c r="G1210"/>
    </row>
    <row r="1211" spans="1:7" ht="15.75">
      <c r="A1211" t="str">
        <f t="shared" si="18"/>
        <v>L'IsleMazoutCHAUFF</v>
      </c>
      <c r="B1211" s="148">
        <v>5486</v>
      </c>
      <c r="C1211" s="148" t="s">
        <v>635</v>
      </c>
      <c r="D1211" s="148" t="s">
        <v>70</v>
      </c>
      <c r="E1211" s="148">
        <v>7327570.7058824124</v>
      </c>
      <c r="F1211" t="s">
        <v>249</v>
      </c>
      <c r="G1211"/>
    </row>
    <row r="1212" spans="1:7" ht="15.75">
      <c r="A1212" t="str">
        <f t="shared" si="18"/>
        <v>L'IsleNon renseignéCHAUFF</v>
      </c>
      <c r="B1212" s="148">
        <v>5486</v>
      </c>
      <c r="C1212" s="148" t="s">
        <v>635</v>
      </c>
      <c r="D1212" s="148" t="s">
        <v>696</v>
      </c>
      <c r="E1212" s="148">
        <v>0</v>
      </c>
      <c r="F1212" t="s">
        <v>249</v>
      </c>
      <c r="G1212"/>
    </row>
    <row r="1213" spans="1:7" ht="15.75">
      <c r="A1213" t="str">
        <f t="shared" si="18"/>
        <v>L'IslePACCHAUFF</v>
      </c>
      <c r="B1213" s="148">
        <v>5486</v>
      </c>
      <c r="C1213" s="148" t="s">
        <v>635</v>
      </c>
      <c r="D1213" s="148" t="s">
        <v>69</v>
      </c>
      <c r="E1213" s="148">
        <v>129631.99710146998</v>
      </c>
      <c r="F1213" t="s">
        <v>249</v>
      </c>
      <c r="G1213"/>
    </row>
    <row r="1214" spans="1:7" ht="15.75">
      <c r="A1214" t="str">
        <f t="shared" si="18"/>
        <v>L'IsleSolaireCHAUFF</v>
      </c>
      <c r="B1214" s="148">
        <v>5486</v>
      </c>
      <c r="C1214" s="148" t="s">
        <v>635</v>
      </c>
      <c r="D1214" s="148" t="s">
        <v>240</v>
      </c>
      <c r="E1214" s="148" t="e">
        <v>#N/A</v>
      </c>
      <c r="F1214" t="s">
        <v>249</v>
      </c>
      <c r="G1214"/>
    </row>
    <row r="1215" spans="1:7" ht="15.75">
      <c r="A1215" t="str">
        <f t="shared" si="18"/>
        <v>La Chaux (Cossonay)Autre agent énergétiqueCHAUFF</v>
      </c>
      <c r="B1215" s="148">
        <v>5474</v>
      </c>
      <c r="C1215" s="148" t="s">
        <v>485</v>
      </c>
      <c r="D1215" s="148" t="s">
        <v>245</v>
      </c>
      <c r="E1215" s="148">
        <v>35282.823529410001</v>
      </c>
      <c r="F1215" t="s">
        <v>249</v>
      </c>
      <c r="G1215"/>
    </row>
    <row r="1216" spans="1:7" ht="15.75">
      <c r="A1216" t="str">
        <f t="shared" si="18"/>
        <v>La Chaux (Cossonay)BoisCHAUFF</v>
      </c>
      <c r="B1216" s="148">
        <v>5474</v>
      </c>
      <c r="C1216" s="148" t="s">
        <v>485</v>
      </c>
      <c r="D1216" s="148" t="s">
        <v>66</v>
      </c>
      <c r="E1216" s="148">
        <v>719376.13333333004</v>
      </c>
      <c r="F1216" t="s">
        <v>249</v>
      </c>
      <c r="G1216"/>
    </row>
    <row r="1217" spans="1:7" ht="15.75">
      <c r="A1217" t="str">
        <f t="shared" si="18"/>
        <v>La Chaux (Cossonay)ElectricitéCHAUFF</v>
      </c>
      <c r="B1217" s="148">
        <v>5474</v>
      </c>
      <c r="C1217" s="148" t="s">
        <v>485</v>
      </c>
      <c r="D1217" s="148" t="s">
        <v>97</v>
      </c>
      <c r="E1217" s="148">
        <v>650452.47311829007</v>
      </c>
      <c r="F1217" t="s">
        <v>249</v>
      </c>
      <c r="G1217"/>
    </row>
    <row r="1218" spans="1:7" ht="15.75">
      <c r="A1218" t="str">
        <f t="shared" si="18"/>
        <v>La Chaux (Cossonay)GazCHAUFF</v>
      </c>
      <c r="B1218" s="148">
        <v>5474</v>
      </c>
      <c r="C1218" s="148" t="s">
        <v>485</v>
      </c>
      <c r="D1218" s="148" t="s">
        <v>239</v>
      </c>
      <c r="E1218" s="148">
        <v>3088295.9442724194</v>
      </c>
      <c r="F1218" t="s">
        <v>249</v>
      </c>
      <c r="G1218"/>
    </row>
    <row r="1219" spans="1:7" ht="15.75">
      <c r="A1219" t="str">
        <f t="shared" si="18"/>
        <v>La Chaux (Cossonay)MazoutCHAUFF</v>
      </c>
      <c r="B1219" s="148">
        <v>5474</v>
      </c>
      <c r="C1219" s="148" t="s">
        <v>485</v>
      </c>
      <c r="D1219" s="148" t="s">
        <v>70</v>
      </c>
      <c r="E1219" s="148">
        <v>1448329.4117647</v>
      </c>
      <c r="F1219" t="s">
        <v>249</v>
      </c>
      <c r="G1219"/>
    </row>
    <row r="1220" spans="1:7" ht="15.75">
      <c r="A1220" t="str">
        <f t="shared" si="18"/>
        <v>La Chaux (Cossonay)Non renseignéCHAUFF</v>
      </c>
      <c r="B1220" s="148">
        <v>5474</v>
      </c>
      <c r="C1220" s="148" t="s">
        <v>485</v>
      </c>
      <c r="D1220" s="148" t="s">
        <v>696</v>
      </c>
      <c r="E1220" s="148">
        <v>0</v>
      </c>
      <c r="F1220" t="s">
        <v>249</v>
      </c>
      <c r="G1220"/>
    </row>
    <row r="1221" spans="1:7" ht="15.75">
      <c r="A1221" t="str">
        <f t="shared" si="18"/>
        <v>La Chaux (Cossonay)PACCHAUFF</v>
      </c>
      <c r="B1221" s="148">
        <v>5474</v>
      </c>
      <c r="C1221" s="148" t="s">
        <v>485</v>
      </c>
      <c r="D1221" s="148" t="s">
        <v>69</v>
      </c>
      <c r="E1221" s="148">
        <v>88754.833333319999</v>
      </c>
      <c r="F1221" t="s">
        <v>249</v>
      </c>
      <c r="G1221"/>
    </row>
    <row r="1222" spans="1:7" ht="15.75">
      <c r="A1222" t="str">
        <f t="shared" si="18"/>
        <v>La Chaux (Cossonay)SolaireCHAUFF</v>
      </c>
      <c r="B1222" s="148">
        <v>5474</v>
      </c>
      <c r="C1222" s="148" t="s">
        <v>485</v>
      </c>
      <c r="D1222" s="148" t="s">
        <v>240</v>
      </c>
      <c r="E1222" s="148" t="e">
        <v>#N/A</v>
      </c>
      <c r="F1222" t="s">
        <v>249</v>
      </c>
      <c r="G1222"/>
    </row>
    <row r="1223" spans="1:7" ht="15.75">
      <c r="A1223" t="str">
        <f t="shared" si="18"/>
        <v>La PrazBoisCHAUFF</v>
      </c>
      <c r="B1223" s="148">
        <v>5758</v>
      </c>
      <c r="C1223" s="148" t="s">
        <v>486</v>
      </c>
      <c r="D1223" s="148" t="s">
        <v>66</v>
      </c>
      <c r="E1223" s="148">
        <v>819857.39607844001</v>
      </c>
      <c r="F1223" t="s">
        <v>249</v>
      </c>
      <c r="G1223"/>
    </row>
    <row r="1224" spans="1:7" ht="15.75">
      <c r="A1224" t="str">
        <f t="shared" si="18"/>
        <v>La PrazElectricitéCHAUFF</v>
      </c>
      <c r="B1224" s="148">
        <v>5758</v>
      </c>
      <c r="C1224" s="148" t="s">
        <v>486</v>
      </c>
      <c r="D1224" s="148" t="s">
        <v>97</v>
      </c>
      <c r="E1224" s="148">
        <v>285156.34408602002</v>
      </c>
      <c r="F1224" t="s">
        <v>249</v>
      </c>
      <c r="G1224"/>
    </row>
    <row r="1225" spans="1:7" ht="15.75">
      <c r="A1225" t="str">
        <f t="shared" si="18"/>
        <v>La PrazMazoutCHAUFF</v>
      </c>
      <c r="B1225" s="148">
        <v>5758</v>
      </c>
      <c r="C1225" s="148" t="s">
        <v>486</v>
      </c>
      <c r="D1225" s="148" t="s">
        <v>70</v>
      </c>
      <c r="E1225" s="148">
        <v>2209620.9411764899</v>
      </c>
      <c r="F1225" t="s">
        <v>249</v>
      </c>
      <c r="G1225"/>
    </row>
    <row r="1226" spans="1:7" ht="15.75">
      <c r="A1226" t="str">
        <f t="shared" si="18"/>
        <v>La PrazNon renseignéCHAUFF</v>
      </c>
      <c r="B1226" s="148">
        <v>5758</v>
      </c>
      <c r="C1226" s="148" t="s">
        <v>486</v>
      </c>
      <c r="D1226" s="148" t="s">
        <v>696</v>
      </c>
      <c r="E1226" s="148">
        <v>0</v>
      </c>
      <c r="F1226" t="s">
        <v>249</v>
      </c>
      <c r="G1226"/>
    </row>
    <row r="1227" spans="1:7" ht="15.75">
      <c r="A1227" t="str">
        <f t="shared" ref="A1227:A1290" si="19">_xlfn.CONCAT(C1227,D1227,F1227)</f>
        <v>La PrazPACCHAUFF</v>
      </c>
      <c r="B1227" s="148">
        <v>5758</v>
      </c>
      <c r="C1227" s="148" t="s">
        <v>486</v>
      </c>
      <c r="D1227" s="148" t="s">
        <v>69</v>
      </c>
      <c r="E1227" s="148">
        <v>67230.629629630013</v>
      </c>
      <c r="F1227" t="s">
        <v>249</v>
      </c>
      <c r="G1227"/>
    </row>
    <row r="1228" spans="1:7" ht="15.75">
      <c r="A1228" t="str">
        <f t="shared" si="19"/>
        <v>La PrazGazCHAUFF</v>
      </c>
      <c r="B1228" s="148">
        <v>5758</v>
      </c>
      <c r="C1228" s="148" t="s">
        <v>486</v>
      </c>
      <c r="D1228" s="148" t="s">
        <v>239</v>
      </c>
      <c r="E1228" s="148" t="e">
        <v>#N/A</v>
      </c>
      <c r="F1228" t="s">
        <v>249</v>
      </c>
      <c r="G1228"/>
    </row>
    <row r="1229" spans="1:7" ht="15.75">
      <c r="A1229" t="str">
        <f t="shared" si="19"/>
        <v>La PrazSolaireCHAUFF</v>
      </c>
      <c r="B1229" s="148">
        <v>5758</v>
      </c>
      <c r="C1229" s="148" t="s">
        <v>486</v>
      </c>
      <c r="D1229" s="148" t="s">
        <v>240</v>
      </c>
      <c r="E1229" s="148" t="e">
        <v>#N/A</v>
      </c>
      <c r="F1229" t="s">
        <v>249</v>
      </c>
      <c r="G1229"/>
    </row>
    <row r="1230" spans="1:7" ht="15.75">
      <c r="A1230" t="str">
        <f t="shared" si="19"/>
        <v>La RippeBoisCHAUFF</v>
      </c>
      <c r="B1230" s="148">
        <v>5726</v>
      </c>
      <c r="C1230" s="148" t="s">
        <v>487</v>
      </c>
      <c r="D1230" s="148" t="s">
        <v>66</v>
      </c>
      <c r="E1230" s="148">
        <v>1137220.83137253</v>
      </c>
      <c r="F1230" t="s">
        <v>249</v>
      </c>
      <c r="G1230"/>
    </row>
    <row r="1231" spans="1:7" ht="15.75">
      <c r="A1231" t="str">
        <f t="shared" si="19"/>
        <v>La RippeCADCHAUFF</v>
      </c>
      <c r="B1231" s="148">
        <v>5726</v>
      </c>
      <c r="C1231" s="148" t="s">
        <v>487</v>
      </c>
      <c r="D1231" s="148" t="s">
        <v>242</v>
      </c>
      <c r="E1231" s="148">
        <v>98194</v>
      </c>
      <c r="F1231" t="s">
        <v>249</v>
      </c>
      <c r="G1231"/>
    </row>
    <row r="1232" spans="1:7" ht="15.75">
      <c r="A1232" t="str">
        <f t="shared" si="19"/>
        <v>La RippeElectricitéCHAUFF</v>
      </c>
      <c r="B1232" s="148">
        <v>5726</v>
      </c>
      <c r="C1232" s="148" t="s">
        <v>487</v>
      </c>
      <c r="D1232" s="148" t="s">
        <v>97</v>
      </c>
      <c r="E1232" s="148">
        <v>2969639.5698924107</v>
      </c>
      <c r="F1232" t="s">
        <v>249</v>
      </c>
      <c r="G1232"/>
    </row>
    <row r="1233" spans="1:7" ht="15.75">
      <c r="A1233" t="str">
        <f t="shared" si="19"/>
        <v>La RippeGazCHAUFF</v>
      </c>
      <c r="B1233" s="148">
        <v>5726</v>
      </c>
      <c r="C1233" s="148" t="s">
        <v>487</v>
      </c>
      <c r="D1233" s="148" t="s">
        <v>239</v>
      </c>
      <c r="E1233" s="148">
        <v>604732.29721364006</v>
      </c>
      <c r="F1233" t="s">
        <v>249</v>
      </c>
      <c r="G1233"/>
    </row>
    <row r="1234" spans="1:7" ht="15.75">
      <c r="A1234" t="str">
        <f t="shared" si="19"/>
        <v>La RippeMazoutCHAUFF</v>
      </c>
      <c r="B1234" s="148">
        <v>5726</v>
      </c>
      <c r="C1234" s="148" t="s">
        <v>487</v>
      </c>
      <c r="D1234" s="148" t="s">
        <v>70</v>
      </c>
      <c r="E1234" s="148">
        <v>6428375.8823529286</v>
      </c>
      <c r="F1234" t="s">
        <v>249</v>
      </c>
      <c r="G1234"/>
    </row>
    <row r="1235" spans="1:7" ht="15.75">
      <c r="A1235" t="str">
        <f t="shared" si="19"/>
        <v>La RippeNon renseignéCHAUFF</v>
      </c>
      <c r="B1235" s="148">
        <v>5726</v>
      </c>
      <c r="C1235" s="148" t="s">
        <v>487</v>
      </c>
      <c r="D1235" s="148" t="s">
        <v>696</v>
      </c>
      <c r="E1235" s="148">
        <v>0</v>
      </c>
      <c r="F1235" t="s">
        <v>249</v>
      </c>
      <c r="G1235"/>
    </row>
    <row r="1236" spans="1:7" ht="15.75">
      <c r="A1236" t="str">
        <f t="shared" si="19"/>
        <v>La RippePACCHAUFF</v>
      </c>
      <c r="B1236" s="148">
        <v>5726</v>
      </c>
      <c r="C1236" s="148" t="s">
        <v>487</v>
      </c>
      <c r="D1236" s="148" t="s">
        <v>69</v>
      </c>
      <c r="E1236" s="148">
        <v>353883.05130409996</v>
      </c>
      <c r="F1236" t="s">
        <v>249</v>
      </c>
      <c r="G1236"/>
    </row>
    <row r="1237" spans="1:7" ht="15.75">
      <c r="A1237" t="str">
        <f t="shared" si="19"/>
        <v>La RippeSolaireCHAUFF</v>
      </c>
      <c r="B1237" s="148">
        <v>5726</v>
      </c>
      <c r="C1237" s="148" t="s">
        <v>487</v>
      </c>
      <c r="D1237" s="148" t="s">
        <v>240</v>
      </c>
      <c r="E1237" s="148" t="e">
        <v>#N/A</v>
      </c>
      <c r="F1237" t="s">
        <v>249</v>
      </c>
      <c r="G1237"/>
    </row>
    <row r="1238" spans="1:7" ht="15.75">
      <c r="A1238" t="str">
        <f t="shared" si="19"/>
        <v>La SarrazAutre agent énergétiqueCHAUFF</v>
      </c>
      <c r="B1238" s="148">
        <v>5498</v>
      </c>
      <c r="C1238" s="148" t="s">
        <v>488</v>
      </c>
      <c r="D1238" s="148" t="s">
        <v>245</v>
      </c>
      <c r="E1238" s="148" t="e">
        <v>#N/A</v>
      </c>
      <c r="F1238" t="s">
        <v>249</v>
      </c>
      <c r="G1238"/>
    </row>
    <row r="1239" spans="1:7" ht="15.75">
      <c r="A1239" t="str">
        <f t="shared" si="19"/>
        <v>La SarrazBoisCHAUFF</v>
      </c>
      <c r="B1239" s="148">
        <v>5498</v>
      </c>
      <c r="C1239" s="148" t="s">
        <v>488</v>
      </c>
      <c r="D1239" s="148" t="s">
        <v>66</v>
      </c>
      <c r="E1239" s="148">
        <v>1001012.69019607</v>
      </c>
      <c r="F1239" t="s">
        <v>249</v>
      </c>
      <c r="G1239"/>
    </row>
    <row r="1240" spans="1:7" ht="15.75">
      <c r="A1240" t="str">
        <f t="shared" si="19"/>
        <v>La SarrazCADCHAUFF</v>
      </c>
      <c r="B1240" s="148">
        <v>5498</v>
      </c>
      <c r="C1240" s="148" t="s">
        <v>488</v>
      </c>
      <c r="D1240" s="148" t="s">
        <v>242</v>
      </c>
      <c r="E1240" s="148">
        <v>2736649.0000000009</v>
      </c>
      <c r="F1240" t="s">
        <v>249</v>
      </c>
      <c r="G1240"/>
    </row>
    <row r="1241" spans="1:7" ht="15.75">
      <c r="A1241" t="str">
        <f t="shared" si="19"/>
        <v>La SarrazElectricitéCHAUFF</v>
      </c>
      <c r="B1241" s="148">
        <v>5498</v>
      </c>
      <c r="C1241" s="148" t="s">
        <v>488</v>
      </c>
      <c r="D1241" s="148" t="s">
        <v>97</v>
      </c>
      <c r="E1241" s="148">
        <v>2614477.8494623504</v>
      </c>
      <c r="F1241" t="s">
        <v>249</v>
      </c>
      <c r="G1241"/>
    </row>
    <row r="1242" spans="1:7" ht="15.75">
      <c r="A1242" t="str">
        <f t="shared" si="19"/>
        <v>La SarrazGazCHAUFF</v>
      </c>
      <c r="B1242" s="148">
        <v>5498</v>
      </c>
      <c r="C1242" s="148" t="s">
        <v>488</v>
      </c>
      <c r="D1242" s="148" t="s">
        <v>239</v>
      </c>
      <c r="E1242" s="148">
        <v>8914172.0600619614</v>
      </c>
      <c r="F1242" t="s">
        <v>249</v>
      </c>
      <c r="G1242"/>
    </row>
    <row r="1243" spans="1:7" ht="15.75">
      <c r="A1243" t="str">
        <f t="shared" si="19"/>
        <v>La SarrazMazoutCHAUFF</v>
      </c>
      <c r="B1243" s="148">
        <v>5498</v>
      </c>
      <c r="C1243" s="148" t="s">
        <v>488</v>
      </c>
      <c r="D1243" s="148" t="s">
        <v>70</v>
      </c>
      <c r="E1243" s="148">
        <v>5509621.294117691</v>
      </c>
      <c r="F1243" t="s">
        <v>249</v>
      </c>
      <c r="G1243"/>
    </row>
    <row r="1244" spans="1:7" ht="15.75">
      <c r="A1244" t="str">
        <f t="shared" si="19"/>
        <v>La SarrazNon renseignéCHAUFF</v>
      </c>
      <c r="B1244" s="148">
        <v>5498</v>
      </c>
      <c r="C1244" s="148" t="s">
        <v>488</v>
      </c>
      <c r="D1244" s="148" t="s">
        <v>696</v>
      </c>
      <c r="E1244" s="148">
        <v>0</v>
      </c>
      <c r="F1244" t="s">
        <v>249</v>
      </c>
      <c r="G1244"/>
    </row>
    <row r="1245" spans="1:7" ht="15.75">
      <c r="A1245" t="str">
        <f t="shared" si="19"/>
        <v>La SarrazPACCHAUFF</v>
      </c>
      <c r="B1245" s="148">
        <v>5498</v>
      </c>
      <c r="C1245" s="148" t="s">
        <v>488</v>
      </c>
      <c r="D1245" s="148" t="s">
        <v>69</v>
      </c>
      <c r="E1245" s="148">
        <v>351434.06280193001</v>
      </c>
      <c r="F1245" t="s">
        <v>249</v>
      </c>
      <c r="G1245"/>
    </row>
    <row r="1246" spans="1:7" ht="15.75">
      <c r="A1246" t="str">
        <f t="shared" si="19"/>
        <v>La SarrazSolaireCHAUFF</v>
      </c>
      <c r="B1246" s="148">
        <v>5498</v>
      </c>
      <c r="C1246" s="148" t="s">
        <v>488</v>
      </c>
      <c r="D1246" s="148" t="s">
        <v>240</v>
      </c>
      <c r="E1246" s="148" t="e">
        <v>#N/A</v>
      </c>
      <c r="F1246" t="s">
        <v>249</v>
      </c>
      <c r="G1246"/>
    </row>
    <row r="1247" spans="1:7" ht="15.75">
      <c r="A1247" t="str">
        <f t="shared" si="19"/>
        <v>La Tour-de-PeilzBoisCHAUFF</v>
      </c>
      <c r="B1247" s="148">
        <v>5889</v>
      </c>
      <c r="C1247" s="148" t="s">
        <v>638</v>
      </c>
      <c r="D1247" s="148" t="s">
        <v>66</v>
      </c>
      <c r="E1247" s="148">
        <v>555082.87843138003</v>
      </c>
      <c r="F1247" t="s">
        <v>249</v>
      </c>
      <c r="G1247"/>
    </row>
    <row r="1248" spans="1:7" ht="15.75">
      <c r="A1248" t="str">
        <f t="shared" si="19"/>
        <v>La Tour-de-PeilzCADCHAUFF</v>
      </c>
      <c r="B1248" s="148">
        <v>5889</v>
      </c>
      <c r="C1248" s="148" t="s">
        <v>638</v>
      </c>
      <c r="D1248" s="148" t="s">
        <v>242</v>
      </c>
      <c r="E1248" s="148">
        <v>328991.32</v>
      </c>
      <c r="F1248" t="s">
        <v>249</v>
      </c>
      <c r="G1248"/>
    </row>
    <row r="1249" spans="1:7" ht="15.75">
      <c r="A1249" t="str">
        <f t="shared" si="19"/>
        <v>La Tour-de-PeilzElectricitéCHAUFF</v>
      </c>
      <c r="B1249" s="148">
        <v>5889</v>
      </c>
      <c r="C1249" s="148" t="s">
        <v>638</v>
      </c>
      <c r="D1249" s="148" t="s">
        <v>97</v>
      </c>
      <c r="E1249" s="148">
        <v>964865.43010753999</v>
      </c>
      <c r="F1249" t="s">
        <v>249</v>
      </c>
      <c r="G1249"/>
    </row>
    <row r="1250" spans="1:7" ht="15.75">
      <c r="A1250" t="str">
        <f t="shared" si="19"/>
        <v>La Tour-de-PeilzGazCHAUFF</v>
      </c>
      <c r="B1250" s="148">
        <v>5889</v>
      </c>
      <c r="C1250" s="148" t="s">
        <v>638</v>
      </c>
      <c r="D1250" s="148" t="s">
        <v>239</v>
      </c>
      <c r="E1250" s="148">
        <v>52958272.295479789</v>
      </c>
      <c r="F1250" t="s">
        <v>249</v>
      </c>
      <c r="G1250"/>
    </row>
    <row r="1251" spans="1:7" ht="15.75">
      <c r="A1251" t="str">
        <f t="shared" si="19"/>
        <v>La Tour-de-PeilzMazoutCHAUFF</v>
      </c>
      <c r="B1251" s="148">
        <v>5889</v>
      </c>
      <c r="C1251" s="148" t="s">
        <v>638</v>
      </c>
      <c r="D1251" s="148" t="s">
        <v>70</v>
      </c>
      <c r="E1251" s="148">
        <v>45265952.764706045</v>
      </c>
      <c r="F1251" t="s">
        <v>249</v>
      </c>
      <c r="G1251"/>
    </row>
    <row r="1252" spans="1:7" ht="15.75">
      <c r="A1252" t="str">
        <f t="shared" si="19"/>
        <v>La Tour-de-PeilzNon renseignéCHAUFF</v>
      </c>
      <c r="B1252" s="148">
        <v>5889</v>
      </c>
      <c r="C1252" s="148" t="s">
        <v>638</v>
      </c>
      <c r="D1252" s="148" t="s">
        <v>696</v>
      </c>
      <c r="E1252" s="148">
        <v>0</v>
      </c>
      <c r="F1252" t="s">
        <v>249</v>
      </c>
      <c r="G1252"/>
    </row>
    <row r="1253" spans="1:7" ht="15.75">
      <c r="A1253" t="str">
        <f t="shared" si="19"/>
        <v>La Tour-de-PeilzPACCHAUFF</v>
      </c>
      <c r="B1253" s="148">
        <v>5889</v>
      </c>
      <c r="C1253" s="148" t="s">
        <v>638</v>
      </c>
      <c r="D1253" s="148" t="s">
        <v>69</v>
      </c>
      <c r="E1253" s="148">
        <v>2753353.4200484599</v>
      </c>
      <c r="F1253" t="s">
        <v>249</v>
      </c>
      <c r="G1253"/>
    </row>
    <row r="1254" spans="1:7" ht="15.75">
      <c r="A1254" t="str">
        <f t="shared" si="19"/>
        <v>La Tour-de-PeilzSolaireCHAUFF</v>
      </c>
      <c r="B1254" s="148">
        <v>5889</v>
      </c>
      <c r="C1254" s="148" t="s">
        <v>638</v>
      </c>
      <c r="D1254" s="148" t="s">
        <v>240</v>
      </c>
      <c r="E1254" s="148" t="e">
        <v>#N/A</v>
      </c>
      <c r="F1254" t="s">
        <v>249</v>
      </c>
      <c r="G1254"/>
    </row>
    <row r="1255" spans="1:7" ht="15.75">
      <c r="A1255" t="str">
        <f t="shared" si="19"/>
        <v>La Tour-de-PeilzAutre agent énergétiqueCHAUFF</v>
      </c>
      <c r="B1255" s="148">
        <v>5889</v>
      </c>
      <c r="C1255" s="148" t="s">
        <v>638</v>
      </c>
      <c r="D1255" s="148" t="s">
        <v>245</v>
      </c>
      <c r="E1255" s="148" t="e">
        <v>#N/A</v>
      </c>
      <c r="F1255" t="s">
        <v>249</v>
      </c>
      <c r="G1255"/>
    </row>
    <row r="1256" spans="1:7" ht="15.75">
      <c r="A1256" t="str">
        <f t="shared" si="19"/>
        <v>LausanneAutre agent énergétiqueCHAUFF</v>
      </c>
      <c r="B1256" s="148">
        <v>5586</v>
      </c>
      <c r="C1256" s="148" t="s">
        <v>324</v>
      </c>
      <c r="D1256" s="148" t="s">
        <v>245</v>
      </c>
      <c r="E1256" s="148">
        <v>14032602.764705878</v>
      </c>
      <c r="F1256" t="s">
        <v>249</v>
      </c>
      <c r="G1256"/>
    </row>
    <row r="1257" spans="1:7" ht="15.75">
      <c r="A1257" t="str">
        <f t="shared" si="19"/>
        <v>LausanneBoisCHAUFF</v>
      </c>
      <c r="B1257" s="148">
        <v>5586</v>
      </c>
      <c r="C1257" s="148" t="s">
        <v>324</v>
      </c>
      <c r="D1257" s="148" t="s">
        <v>66</v>
      </c>
      <c r="E1257" s="148">
        <v>11583488.894633688</v>
      </c>
      <c r="F1257" t="s">
        <v>249</v>
      </c>
      <c r="G1257"/>
    </row>
    <row r="1258" spans="1:7" ht="15.75">
      <c r="A1258" t="str">
        <f t="shared" si="19"/>
        <v>LausanneCADCHAUFF</v>
      </c>
      <c r="B1258" s="148">
        <v>5586</v>
      </c>
      <c r="C1258" s="148" t="s">
        <v>324</v>
      </c>
      <c r="D1258" s="148" t="s">
        <v>242</v>
      </c>
      <c r="E1258" s="148">
        <v>310986661.77332693</v>
      </c>
      <c r="F1258" t="s">
        <v>249</v>
      </c>
      <c r="G1258"/>
    </row>
    <row r="1259" spans="1:7" ht="15.75">
      <c r="A1259" t="str">
        <f t="shared" si="19"/>
        <v>LausanneElectricitéCHAUFF</v>
      </c>
      <c r="B1259" s="148">
        <v>5586</v>
      </c>
      <c r="C1259" s="148" t="s">
        <v>324</v>
      </c>
      <c r="D1259" s="148" t="s">
        <v>97</v>
      </c>
      <c r="E1259" s="148">
        <v>5665085.5312390234</v>
      </c>
      <c r="F1259" t="s">
        <v>249</v>
      </c>
      <c r="G1259"/>
    </row>
    <row r="1260" spans="1:7" ht="15.75">
      <c r="A1260" t="str">
        <f t="shared" si="19"/>
        <v>LausanneGazCHAUFF</v>
      </c>
      <c r="B1260" s="148">
        <v>5586</v>
      </c>
      <c r="C1260" s="148" t="s">
        <v>324</v>
      </c>
      <c r="D1260" s="148" t="s">
        <v>239</v>
      </c>
      <c r="E1260" s="148">
        <v>606618870.17481124</v>
      </c>
      <c r="F1260" t="s">
        <v>249</v>
      </c>
      <c r="G1260"/>
    </row>
    <row r="1261" spans="1:7" ht="15.75">
      <c r="A1261" t="str">
        <f t="shared" si="19"/>
        <v>LausanneMazoutCHAUFF</v>
      </c>
      <c r="B1261" s="148">
        <v>5586</v>
      </c>
      <c r="C1261" s="148" t="s">
        <v>324</v>
      </c>
      <c r="D1261" s="148" t="s">
        <v>70</v>
      </c>
      <c r="E1261" s="148">
        <v>426779760.00000173</v>
      </c>
      <c r="F1261" t="s">
        <v>249</v>
      </c>
      <c r="G1261"/>
    </row>
    <row r="1262" spans="1:7" ht="15.75">
      <c r="A1262" t="str">
        <f t="shared" si="19"/>
        <v>LausanneNon renseignéCHAUFF</v>
      </c>
      <c r="B1262" s="148">
        <v>5586</v>
      </c>
      <c r="C1262" s="148" t="s">
        <v>324</v>
      </c>
      <c r="D1262" s="148" t="s">
        <v>696</v>
      </c>
      <c r="E1262" s="148">
        <v>0</v>
      </c>
      <c r="F1262" t="s">
        <v>249</v>
      </c>
      <c r="G1262"/>
    </row>
    <row r="1263" spans="1:7" ht="15.75">
      <c r="A1263" t="str">
        <f t="shared" si="19"/>
        <v>LausannePACCHAUFF</v>
      </c>
      <c r="B1263" s="148">
        <v>5586</v>
      </c>
      <c r="C1263" s="148" t="s">
        <v>324</v>
      </c>
      <c r="D1263" s="148" t="s">
        <v>69</v>
      </c>
      <c r="E1263" s="148">
        <v>2772950.1948036696</v>
      </c>
      <c r="F1263" t="s">
        <v>249</v>
      </c>
      <c r="G1263"/>
    </row>
    <row r="1264" spans="1:7" ht="15.75">
      <c r="A1264" t="str">
        <f t="shared" si="19"/>
        <v>LausanneSolaireCHAUFF</v>
      </c>
      <c r="B1264" s="148">
        <v>5586</v>
      </c>
      <c r="C1264" s="148" t="s">
        <v>324</v>
      </c>
      <c r="D1264" s="148" t="s">
        <v>240</v>
      </c>
      <c r="E1264" s="148">
        <v>276660.40000000002</v>
      </c>
      <c r="F1264" t="s">
        <v>249</v>
      </c>
      <c r="G1264"/>
    </row>
    <row r="1265" spans="1:7" ht="15.75">
      <c r="A1265" t="str">
        <f t="shared" si="19"/>
        <v>LausanneCharbonCHAUFF</v>
      </c>
      <c r="B1265" s="148">
        <v>5586</v>
      </c>
      <c r="C1265" s="148" t="s">
        <v>324</v>
      </c>
      <c r="D1265" s="148" t="s">
        <v>695</v>
      </c>
      <c r="E1265" s="148" t="e">
        <v>#N/A</v>
      </c>
      <c r="F1265" t="s">
        <v>249</v>
      </c>
      <c r="G1265"/>
    </row>
    <row r="1266" spans="1:7" ht="15.75">
      <c r="A1266" t="str">
        <f t="shared" si="19"/>
        <v>Lavey-MorclesAutre agent énergétiqueCHAUFF</v>
      </c>
      <c r="B1266" s="148">
        <v>5406</v>
      </c>
      <c r="C1266" s="148" t="s">
        <v>489</v>
      </c>
      <c r="D1266" s="148" t="s">
        <v>245</v>
      </c>
      <c r="E1266" s="148">
        <v>1908.7058823499999</v>
      </c>
      <c r="F1266" t="s">
        <v>249</v>
      </c>
      <c r="G1266"/>
    </row>
    <row r="1267" spans="1:7" ht="15.75">
      <c r="A1267" t="str">
        <f t="shared" si="19"/>
        <v>Lavey-MorclesBoisCHAUFF</v>
      </c>
      <c r="B1267" s="148">
        <v>5406</v>
      </c>
      <c r="C1267" s="148" t="s">
        <v>489</v>
      </c>
      <c r="D1267" s="148" t="s">
        <v>66</v>
      </c>
      <c r="E1267" s="148">
        <v>442584.53333333007</v>
      </c>
      <c r="F1267" t="s">
        <v>249</v>
      </c>
      <c r="G1267"/>
    </row>
    <row r="1268" spans="1:7" ht="15.75">
      <c r="A1268" t="str">
        <f t="shared" si="19"/>
        <v>Lavey-MorclesElectricitéCHAUFF</v>
      </c>
      <c r="B1268" s="148">
        <v>5406</v>
      </c>
      <c r="C1268" s="148" t="s">
        <v>489</v>
      </c>
      <c r="D1268" s="148" t="s">
        <v>97</v>
      </c>
      <c r="E1268" s="148">
        <v>399285.33333333995</v>
      </c>
      <c r="F1268" t="s">
        <v>249</v>
      </c>
      <c r="G1268"/>
    </row>
    <row r="1269" spans="1:7" ht="15.75">
      <c r="A1269" t="str">
        <f t="shared" si="19"/>
        <v>Lavey-MorclesGazCHAUFF</v>
      </c>
      <c r="B1269" s="148">
        <v>5406</v>
      </c>
      <c r="C1269" s="148" t="s">
        <v>489</v>
      </c>
      <c r="D1269" s="148" t="s">
        <v>239</v>
      </c>
      <c r="E1269" s="148">
        <v>4759407.0068110917</v>
      </c>
      <c r="F1269" t="s">
        <v>249</v>
      </c>
      <c r="G1269"/>
    </row>
    <row r="1270" spans="1:7" ht="15.75">
      <c r="A1270" t="str">
        <f t="shared" si="19"/>
        <v>Lavey-MorclesMazoutCHAUFF</v>
      </c>
      <c r="B1270" s="148">
        <v>5406</v>
      </c>
      <c r="C1270" s="148" t="s">
        <v>489</v>
      </c>
      <c r="D1270" s="148" t="s">
        <v>70</v>
      </c>
      <c r="E1270" s="148">
        <v>5105654.7411764693</v>
      </c>
      <c r="F1270" t="s">
        <v>249</v>
      </c>
      <c r="G1270"/>
    </row>
    <row r="1271" spans="1:7" ht="15.75">
      <c r="A1271" t="str">
        <f t="shared" si="19"/>
        <v>Lavey-MorclesNon renseignéCHAUFF</v>
      </c>
      <c r="B1271" s="148">
        <v>5406</v>
      </c>
      <c r="C1271" s="148" t="s">
        <v>489</v>
      </c>
      <c r="D1271" s="148" t="s">
        <v>696</v>
      </c>
      <c r="E1271" s="148">
        <v>0</v>
      </c>
      <c r="F1271" t="s">
        <v>249</v>
      </c>
      <c r="G1271"/>
    </row>
    <row r="1272" spans="1:7" ht="15.75">
      <c r="A1272" t="str">
        <f t="shared" si="19"/>
        <v>Lavey-MorclesPACCHAUFF</v>
      </c>
      <c r="B1272" s="148">
        <v>5406</v>
      </c>
      <c r="C1272" s="148" t="s">
        <v>489</v>
      </c>
      <c r="D1272" s="148" t="s">
        <v>69</v>
      </c>
      <c r="E1272" s="148">
        <v>133665.71025596999</v>
      </c>
      <c r="F1272" t="s">
        <v>249</v>
      </c>
      <c r="G1272"/>
    </row>
    <row r="1273" spans="1:7" ht="15.75">
      <c r="A1273" t="str">
        <f t="shared" si="19"/>
        <v>Lavey-MorclesSolaireCHAUFF</v>
      </c>
      <c r="B1273" s="148">
        <v>5406</v>
      </c>
      <c r="C1273" s="148" t="s">
        <v>489</v>
      </c>
      <c r="D1273" s="148" t="s">
        <v>240</v>
      </c>
      <c r="E1273" s="148">
        <v>11651.2</v>
      </c>
      <c r="F1273" t="s">
        <v>249</v>
      </c>
      <c r="G1273"/>
    </row>
    <row r="1274" spans="1:7" ht="15.75">
      <c r="A1274" t="str">
        <f t="shared" si="19"/>
        <v>LavignyBoisCHAUFF</v>
      </c>
      <c r="B1274" s="148">
        <v>5637</v>
      </c>
      <c r="C1274" s="148" t="s">
        <v>490</v>
      </c>
      <c r="D1274" s="148" t="s">
        <v>66</v>
      </c>
      <c r="E1274" s="148">
        <v>502273.58509802999</v>
      </c>
      <c r="F1274" t="s">
        <v>249</v>
      </c>
      <c r="G1274"/>
    </row>
    <row r="1275" spans="1:7" ht="15.75">
      <c r="A1275" t="str">
        <f t="shared" si="19"/>
        <v>LavignyCADCHAUFF</v>
      </c>
      <c r="B1275" s="148">
        <v>5637</v>
      </c>
      <c r="C1275" s="148" t="s">
        <v>490</v>
      </c>
      <c r="D1275" s="148" t="s">
        <v>242</v>
      </c>
      <c r="E1275" s="148">
        <v>293598.56</v>
      </c>
      <c r="F1275" t="s">
        <v>249</v>
      </c>
      <c r="G1275"/>
    </row>
    <row r="1276" spans="1:7" ht="15.75">
      <c r="A1276" t="str">
        <f t="shared" si="19"/>
        <v>LavignyElectricitéCHAUFF</v>
      </c>
      <c r="B1276" s="148">
        <v>5637</v>
      </c>
      <c r="C1276" s="148" t="s">
        <v>490</v>
      </c>
      <c r="D1276" s="148" t="s">
        <v>97</v>
      </c>
      <c r="E1276" s="148">
        <v>834979.56989248982</v>
      </c>
      <c r="F1276" t="s">
        <v>249</v>
      </c>
      <c r="G1276"/>
    </row>
    <row r="1277" spans="1:7" ht="15.75">
      <c r="A1277" t="str">
        <f t="shared" si="19"/>
        <v>LavignyGazCHAUFF</v>
      </c>
      <c r="B1277" s="148">
        <v>5637</v>
      </c>
      <c r="C1277" s="148" t="s">
        <v>490</v>
      </c>
      <c r="D1277" s="148" t="s">
        <v>239</v>
      </c>
      <c r="E1277" s="148">
        <v>3848551.9467492406</v>
      </c>
      <c r="F1277" t="s">
        <v>249</v>
      </c>
      <c r="G1277"/>
    </row>
    <row r="1278" spans="1:7" ht="15.75">
      <c r="A1278" t="str">
        <f t="shared" si="19"/>
        <v>LavignyMazoutCHAUFF</v>
      </c>
      <c r="B1278" s="148">
        <v>5637</v>
      </c>
      <c r="C1278" s="148" t="s">
        <v>490</v>
      </c>
      <c r="D1278" s="148" t="s">
        <v>70</v>
      </c>
      <c r="E1278" s="148">
        <v>3052137.2705882103</v>
      </c>
      <c r="F1278" t="s">
        <v>249</v>
      </c>
      <c r="G1278"/>
    </row>
    <row r="1279" spans="1:7" ht="15.75">
      <c r="A1279" t="str">
        <f t="shared" si="19"/>
        <v>LavignyNon renseignéCHAUFF</v>
      </c>
      <c r="B1279" s="148">
        <v>5637</v>
      </c>
      <c r="C1279" s="148" t="s">
        <v>490</v>
      </c>
      <c r="D1279" s="148" t="s">
        <v>696</v>
      </c>
      <c r="E1279" s="148">
        <v>0</v>
      </c>
      <c r="F1279" t="s">
        <v>249</v>
      </c>
      <c r="G1279"/>
    </row>
    <row r="1280" spans="1:7" ht="15.75">
      <c r="A1280" t="str">
        <f t="shared" si="19"/>
        <v>LavignyPACCHAUFF</v>
      </c>
      <c r="B1280" s="148">
        <v>5637</v>
      </c>
      <c r="C1280" s="148" t="s">
        <v>490</v>
      </c>
      <c r="D1280" s="148" t="s">
        <v>69</v>
      </c>
      <c r="E1280" s="148">
        <v>418777.63220610004</v>
      </c>
      <c r="F1280" t="s">
        <v>249</v>
      </c>
      <c r="G1280"/>
    </row>
    <row r="1281" spans="1:7" ht="15.75">
      <c r="A1281" t="str">
        <f t="shared" si="19"/>
        <v>LavignySolaireCHAUFF</v>
      </c>
      <c r="B1281" s="148">
        <v>5637</v>
      </c>
      <c r="C1281" s="148" t="s">
        <v>490</v>
      </c>
      <c r="D1281" s="148" t="s">
        <v>240</v>
      </c>
      <c r="E1281" s="148">
        <v>66960</v>
      </c>
      <c r="F1281" t="s">
        <v>249</v>
      </c>
      <c r="G1281"/>
    </row>
    <row r="1282" spans="1:7" ht="15.75">
      <c r="A1282" t="str">
        <f t="shared" si="19"/>
        <v>Le ChenitAutre agent énergétiqueCHAUFF</v>
      </c>
      <c r="B1282" s="148">
        <v>5872</v>
      </c>
      <c r="C1282" s="148" t="s">
        <v>491</v>
      </c>
      <c r="D1282" s="148" t="s">
        <v>245</v>
      </c>
      <c r="E1282" s="148">
        <v>348840.00000001001</v>
      </c>
      <c r="F1282" t="s">
        <v>249</v>
      </c>
      <c r="G1282"/>
    </row>
    <row r="1283" spans="1:7" ht="15.75">
      <c r="A1283" t="str">
        <f t="shared" si="19"/>
        <v>Le ChenitBoisCHAUFF</v>
      </c>
      <c r="B1283" s="148">
        <v>5872</v>
      </c>
      <c r="C1283" s="148" t="s">
        <v>491</v>
      </c>
      <c r="D1283" s="148" t="s">
        <v>66</v>
      </c>
      <c r="E1283" s="148">
        <v>6691718.13333333</v>
      </c>
      <c r="F1283" t="s">
        <v>249</v>
      </c>
      <c r="G1283"/>
    </row>
    <row r="1284" spans="1:7" ht="15.75">
      <c r="A1284" t="str">
        <f t="shared" si="19"/>
        <v>Le ChenitCADCHAUFF</v>
      </c>
      <c r="B1284" s="148">
        <v>5872</v>
      </c>
      <c r="C1284" s="148" t="s">
        <v>491</v>
      </c>
      <c r="D1284" s="148" t="s">
        <v>242</v>
      </c>
      <c r="E1284" s="148">
        <v>6499849.7799999993</v>
      </c>
      <c r="F1284" t="s">
        <v>249</v>
      </c>
      <c r="G1284"/>
    </row>
    <row r="1285" spans="1:7" ht="15.75">
      <c r="A1285" t="str">
        <f t="shared" si="19"/>
        <v>Le ChenitElectricitéCHAUFF</v>
      </c>
      <c r="B1285" s="148">
        <v>5872</v>
      </c>
      <c r="C1285" s="148" t="s">
        <v>491</v>
      </c>
      <c r="D1285" s="148" t="s">
        <v>97</v>
      </c>
      <c r="E1285" s="148">
        <v>2981353.9784945892</v>
      </c>
      <c r="F1285" t="s">
        <v>249</v>
      </c>
      <c r="G1285"/>
    </row>
    <row r="1286" spans="1:7" ht="15.75">
      <c r="A1286" t="str">
        <f t="shared" si="19"/>
        <v>Le ChenitGazCHAUFF</v>
      </c>
      <c r="B1286" s="148">
        <v>5872</v>
      </c>
      <c r="C1286" s="148" t="s">
        <v>491</v>
      </c>
      <c r="D1286" s="148" t="s">
        <v>239</v>
      </c>
      <c r="E1286" s="148">
        <v>1556011.3869968799</v>
      </c>
      <c r="F1286" t="s">
        <v>249</v>
      </c>
      <c r="G1286"/>
    </row>
    <row r="1287" spans="1:7" ht="15.75">
      <c r="A1287" t="str">
        <f t="shared" si="19"/>
        <v>Le ChenitMazoutCHAUFF</v>
      </c>
      <c r="B1287" s="148">
        <v>5872</v>
      </c>
      <c r="C1287" s="148" t="s">
        <v>491</v>
      </c>
      <c r="D1287" s="148" t="s">
        <v>70</v>
      </c>
      <c r="E1287" s="148">
        <v>54026879.174703769</v>
      </c>
      <c r="F1287" t="s">
        <v>249</v>
      </c>
      <c r="G1287"/>
    </row>
    <row r="1288" spans="1:7" ht="15.75">
      <c r="A1288" t="str">
        <f t="shared" si="19"/>
        <v>Le ChenitNon renseignéCHAUFF</v>
      </c>
      <c r="B1288" s="148">
        <v>5872</v>
      </c>
      <c r="C1288" s="148" t="s">
        <v>491</v>
      </c>
      <c r="D1288" s="148" t="s">
        <v>696</v>
      </c>
      <c r="E1288" s="148">
        <v>0</v>
      </c>
      <c r="F1288" t="s">
        <v>249</v>
      </c>
      <c r="G1288"/>
    </row>
    <row r="1289" spans="1:7" ht="15.75">
      <c r="A1289" t="str">
        <f t="shared" si="19"/>
        <v>Le ChenitPACCHAUFF</v>
      </c>
      <c r="B1289" s="148">
        <v>5872</v>
      </c>
      <c r="C1289" s="148" t="s">
        <v>491</v>
      </c>
      <c r="D1289" s="148" t="s">
        <v>69</v>
      </c>
      <c r="E1289" s="148">
        <v>792721.24669058982</v>
      </c>
      <c r="F1289" t="s">
        <v>249</v>
      </c>
      <c r="G1289"/>
    </row>
    <row r="1290" spans="1:7" ht="15.75">
      <c r="A1290" t="str">
        <f t="shared" si="19"/>
        <v>Le ChenitSolaireCHAUFF</v>
      </c>
      <c r="B1290" s="148">
        <v>5872</v>
      </c>
      <c r="C1290" s="148" t="s">
        <v>491</v>
      </c>
      <c r="D1290" s="148" t="s">
        <v>240</v>
      </c>
      <c r="E1290" s="148">
        <v>22419.200000000001</v>
      </c>
      <c r="F1290" t="s">
        <v>249</v>
      </c>
      <c r="G1290"/>
    </row>
    <row r="1291" spans="1:7" ht="15.75">
      <c r="A1291" t="str">
        <f t="shared" ref="A1291:A1354" si="20">_xlfn.CONCAT(C1291,D1291,F1291)</f>
        <v>Le LieuAutre agent énergétiqueCHAUFF</v>
      </c>
      <c r="B1291" s="148">
        <v>5873</v>
      </c>
      <c r="C1291" s="148" t="s">
        <v>492</v>
      </c>
      <c r="D1291" s="148" t="s">
        <v>245</v>
      </c>
      <c r="E1291" s="148">
        <v>41296.941176469998</v>
      </c>
      <c r="F1291" t="s">
        <v>249</v>
      </c>
      <c r="G1291"/>
    </row>
    <row r="1292" spans="1:7" ht="15.75">
      <c r="A1292" t="str">
        <f t="shared" si="20"/>
        <v>Le LieuBoisCHAUFF</v>
      </c>
      <c r="B1292" s="148">
        <v>5873</v>
      </c>
      <c r="C1292" s="148" t="s">
        <v>492</v>
      </c>
      <c r="D1292" s="148" t="s">
        <v>66</v>
      </c>
      <c r="E1292" s="148">
        <v>3037313.2423529197</v>
      </c>
      <c r="F1292" t="s">
        <v>249</v>
      </c>
      <c r="G1292"/>
    </row>
    <row r="1293" spans="1:7" ht="15.75">
      <c r="A1293" t="str">
        <f t="shared" si="20"/>
        <v>Le LieuCADCHAUFF</v>
      </c>
      <c r="B1293" s="148">
        <v>5873</v>
      </c>
      <c r="C1293" s="148" t="s">
        <v>492</v>
      </c>
      <c r="D1293" s="148" t="s">
        <v>242</v>
      </c>
      <c r="E1293" s="148">
        <v>2920859.6999999997</v>
      </c>
      <c r="F1293" t="s">
        <v>249</v>
      </c>
      <c r="G1293"/>
    </row>
    <row r="1294" spans="1:7" ht="15.75">
      <c r="A1294" t="str">
        <f t="shared" si="20"/>
        <v>Le LieuElectricitéCHAUFF</v>
      </c>
      <c r="B1294" s="148">
        <v>5873</v>
      </c>
      <c r="C1294" s="148" t="s">
        <v>492</v>
      </c>
      <c r="D1294" s="148" t="s">
        <v>97</v>
      </c>
      <c r="E1294" s="148">
        <v>908571.91397848004</v>
      </c>
      <c r="F1294" t="s">
        <v>249</v>
      </c>
      <c r="G1294"/>
    </row>
    <row r="1295" spans="1:7" ht="15.75">
      <c r="A1295" t="str">
        <f t="shared" si="20"/>
        <v>Le LieuGazCHAUFF</v>
      </c>
      <c r="B1295" s="148">
        <v>5873</v>
      </c>
      <c r="C1295" s="148" t="s">
        <v>492</v>
      </c>
      <c r="D1295" s="148" t="s">
        <v>239</v>
      </c>
      <c r="E1295" s="148">
        <v>122594.35294118</v>
      </c>
      <c r="F1295" t="s">
        <v>249</v>
      </c>
      <c r="G1295"/>
    </row>
    <row r="1296" spans="1:7" ht="15.75">
      <c r="A1296" t="str">
        <f t="shared" si="20"/>
        <v>Le LieuMazoutCHAUFF</v>
      </c>
      <c r="B1296" s="148">
        <v>5873</v>
      </c>
      <c r="C1296" s="148" t="s">
        <v>492</v>
      </c>
      <c r="D1296" s="148" t="s">
        <v>70</v>
      </c>
      <c r="E1296" s="148">
        <v>9796201.8823529482</v>
      </c>
      <c r="F1296" t="s">
        <v>249</v>
      </c>
      <c r="G1296"/>
    </row>
    <row r="1297" spans="1:7" ht="15.75">
      <c r="A1297" t="str">
        <f t="shared" si="20"/>
        <v>Le LieuNon renseignéCHAUFF</v>
      </c>
      <c r="B1297" s="148">
        <v>5873</v>
      </c>
      <c r="C1297" s="148" t="s">
        <v>492</v>
      </c>
      <c r="D1297" s="148" t="s">
        <v>696</v>
      </c>
      <c r="E1297" s="148">
        <v>0</v>
      </c>
      <c r="F1297" t="s">
        <v>249</v>
      </c>
      <c r="G1297"/>
    </row>
    <row r="1298" spans="1:7" ht="15.75">
      <c r="A1298" t="str">
        <f t="shared" si="20"/>
        <v>Le LieuPACCHAUFF</v>
      </c>
      <c r="B1298" s="148">
        <v>5873</v>
      </c>
      <c r="C1298" s="148" t="s">
        <v>492</v>
      </c>
      <c r="D1298" s="148" t="s">
        <v>69</v>
      </c>
      <c r="E1298" s="148">
        <v>148615.90982286001</v>
      </c>
      <c r="F1298" t="s">
        <v>249</v>
      </c>
      <c r="G1298"/>
    </row>
    <row r="1299" spans="1:7" ht="15.75">
      <c r="A1299" t="str">
        <f t="shared" si="20"/>
        <v>Le LieuSolaireCHAUFF</v>
      </c>
      <c r="B1299" s="148">
        <v>5873</v>
      </c>
      <c r="C1299" s="148" t="s">
        <v>492</v>
      </c>
      <c r="D1299" s="148" t="s">
        <v>240</v>
      </c>
      <c r="E1299" s="148">
        <v>10076</v>
      </c>
      <c r="F1299" t="s">
        <v>249</v>
      </c>
      <c r="G1299"/>
    </row>
    <row r="1300" spans="1:7" ht="15.75">
      <c r="A1300" t="str">
        <f t="shared" si="20"/>
        <v>Le Mont-sur-LausanneAutre agent énergétiqueCHAUFF</v>
      </c>
      <c r="B1300" s="148">
        <v>5587</v>
      </c>
      <c r="C1300" s="148" t="s">
        <v>689</v>
      </c>
      <c r="D1300" s="148" t="s">
        <v>245</v>
      </c>
      <c r="E1300" s="148">
        <v>32145.88235294</v>
      </c>
      <c r="F1300" t="s">
        <v>249</v>
      </c>
      <c r="G1300"/>
    </row>
    <row r="1301" spans="1:7" ht="15.75">
      <c r="A1301" t="str">
        <f t="shared" si="20"/>
        <v>Le Mont-sur-LausanneBoisCHAUFF</v>
      </c>
      <c r="B1301" s="148">
        <v>5587</v>
      </c>
      <c r="C1301" s="148" t="s">
        <v>689</v>
      </c>
      <c r="D1301" s="148" t="s">
        <v>66</v>
      </c>
      <c r="E1301" s="148">
        <v>5966962.8070588391</v>
      </c>
      <c r="F1301" t="s">
        <v>249</v>
      </c>
      <c r="G1301"/>
    </row>
    <row r="1302" spans="1:7" ht="15.75">
      <c r="A1302" t="str">
        <f t="shared" si="20"/>
        <v>Le Mont-sur-LausanneCADCHAUFF</v>
      </c>
      <c r="B1302" s="148">
        <v>5587</v>
      </c>
      <c r="C1302" s="148" t="s">
        <v>689</v>
      </c>
      <c r="D1302" s="148" t="s">
        <v>242</v>
      </c>
      <c r="E1302" s="148">
        <v>7984637.3599999994</v>
      </c>
      <c r="F1302" t="s">
        <v>249</v>
      </c>
      <c r="G1302"/>
    </row>
    <row r="1303" spans="1:7" ht="15.75">
      <c r="A1303" t="str">
        <f t="shared" si="20"/>
        <v>Le Mont-sur-LausanneCharbonCHAUFF</v>
      </c>
      <c r="B1303" s="148">
        <v>5587</v>
      </c>
      <c r="C1303" s="148" t="s">
        <v>689</v>
      </c>
      <c r="D1303" s="148" t="s">
        <v>695</v>
      </c>
      <c r="E1303" s="148" t="e">
        <v>#N/A</v>
      </c>
      <c r="F1303" t="s">
        <v>249</v>
      </c>
      <c r="G1303"/>
    </row>
    <row r="1304" spans="1:7" ht="15.75">
      <c r="A1304" t="str">
        <f t="shared" si="20"/>
        <v>Le Mont-sur-LausanneElectricitéCHAUFF</v>
      </c>
      <c r="B1304" s="148">
        <v>5587</v>
      </c>
      <c r="C1304" s="148" t="s">
        <v>689</v>
      </c>
      <c r="D1304" s="148" t="s">
        <v>97</v>
      </c>
      <c r="E1304" s="148">
        <v>6156804.0430108793</v>
      </c>
      <c r="F1304" t="s">
        <v>249</v>
      </c>
      <c r="G1304"/>
    </row>
    <row r="1305" spans="1:7" ht="15.75">
      <c r="A1305" t="str">
        <f t="shared" si="20"/>
        <v>Le Mont-sur-LausanneGazCHAUFF</v>
      </c>
      <c r="B1305" s="148">
        <v>5587</v>
      </c>
      <c r="C1305" s="148" t="s">
        <v>689</v>
      </c>
      <c r="D1305" s="148" t="s">
        <v>239</v>
      </c>
      <c r="E1305" s="148">
        <v>43599461.661919609</v>
      </c>
      <c r="F1305" t="s">
        <v>249</v>
      </c>
      <c r="G1305"/>
    </row>
    <row r="1306" spans="1:7" ht="15.75">
      <c r="A1306" t="str">
        <f t="shared" si="20"/>
        <v>Le Mont-sur-LausanneMazoutCHAUFF</v>
      </c>
      <c r="B1306" s="148">
        <v>5587</v>
      </c>
      <c r="C1306" s="148" t="s">
        <v>689</v>
      </c>
      <c r="D1306" s="148" t="s">
        <v>70</v>
      </c>
      <c r="E1306" s="148">
        <v>28619980.611764681</v>
      </c>
      <c r="F1306" t="s">
        <v>249</v>
      </c>
      <c r="G1306"/>
    </row>
    <row r="1307" spans="1:7" ht="15.75">
      <c r="A1307" t="str">
        <f t="shared" si="20"/>
        <v>Le Mont-sur-LausanneNon renseignéCHAUFF</v>
      </c>
      <c r="B1307" s="148">
        <v>5587</v>
      </c>
      <c r="C1307" s="148" t="s">
        <v>689</v>
      </c>
      <c r="D1307" s="148" t="s">
        <v>696</v>
      </c>
      <c r="E1307" s="148">
        <v>0</v>
      </c>
      <c r="F1307" t="s">
        <v>249</v>
      </c>
      <c r="G1307"/>
    </row>
    <row r="1308" spans="1:7" ht="15.75">
      <c r="A1308" t="str">
        <f t="shared" si="20"/>
        <v>Le Mont-sur-LausannePACCHAUFF</v>
      </c>
      <c r="B1308" s="148">
        <v>5587</v>
      </c>
      <c r="C1308" s="148" t="s">
        <v>689</v>
      </c>
      <c r="D1308" s="148" t="s">
        <v>69</v>
      </c>
      <c r="E1308" s="148">
        <v>2495891.9510938604</v>
      </c>
      <c r="F1308" t="s">
        <v>249</v>
      </c>
      <c r="G1308"/>
    </row>
    <row r="1309" spans="1:7" ht="15.75">
      <c r="A1309" t="str">
        <f t="shared" si="20"/>
        <v>Le Mont-sur-LausanneSolaireCHAUFF</v>
      </c>
      <c r="B1309" s="148">
        <v>5587</v>
      </c>
      <c r="C1309" s="148" t="s">
        <v>689</v>
      </c>
      <c r="D1309" s="148" t="s">
        <v>240</v>
      </c>
      <c r="E1309" s="148">
        <v>57803.199999999997</v>
      </c>
      <c r="F1309" t="s">
        <v>249</v>
      </c>
      <c r="G1309"/>
    </row>
    <row r="1310" spans="1:7" ht="15.75">
      <c r="A1310" t="str">
        <f t="shared" si="20"/>
        <v>Le VaudBoisCHAUFF</v>
      </c>
      <c r="B1310" s="148">
        <v>5731</v>
      </c>
      <c r="C1310" s="148" t="s">
        <v>244</v>
      </c>
      <c r="D1310" s="148" t="s">
        <v>66</v>
      </c>
      <c r="E1310" s="148">
        <v>910507.81176472001</v>
      </c>
      <c r="F1310" t="s">
        <v>249</v>
      </c>
      <c r="G1310"/>
    </row>
    <row r="1311" spans="1:7" ht="15.75">
      <c r="A1311" t="str">
        <f t="shared" si="20"/>
        <v>Le VaudCADCHAUFF</v>
      </c>
      <c r="B1311" s="148">
        <v>5731</v>
      </c>
      <c r="C1311" s="148" t="s">
        <v>244</v>
      </c>
      <c r="D1311" s="148" t="s">
        <v>242</v>
      </c>
      <c r="E1311" s="148">
        <v>30357.600000000002</v>
      </c>
      <c r="F1311" t="s">
        <v>249</v>
      </c>
      <c r="G1311"/>
    </row>
    <row r="1312" spans="1:7" ht="15.75">
      <c r="A1312" t="str">
        <f t="shared" si="20"/>
        <v>Le VaudElectricitéCHAUFF</v>
      </c>
      <c r="B1312" s="148">
        <v>5731</v>
      </c>
      <c r="C1312" s="148" t="s">
        <v>244</v>
      </c>
      <c r="D1312" s="148" t="s">
        <v>97</v>
      </c>
      <c r="E1312" s="148">
        <v>3352619.1612903485</v>
      </c>
      <c r="F1312" t="s">
        <v>249</v>
      </c>
      <c r="G1312"/>
    </row>
    <row r="1313" spans="1:7" ht="15.75">
      <c r="A1313" t="str">
        <f t="shared" si="20"/>
        <v>Le VaudGazCHAUFF</v>
      </c>
      <c r="B1313" s="148">
        <v>5731</v>
      </c>
      <c r="C1313" s="148" t="s">
        <v>244</v>
      </c>
      <c r="D1313" s="148" t="s">
        <v>239</v>
      </c>
      <c r="E1313" s="148">
        <v>71436.260061909998</v>
      </c>
      <c r="F1313" t="s">
        <v>249</v>
      </c>
      <c r="G1313"/>
    </row>
    <row r="1314" spans="1:7" ht="15.75">
      <c r="A1314" t="str">
        <f t="shared" si="20"/>
        <v>Le VaudMazoutCHAUFF</v>
      </c>
      <c r="B1314" s="148">
        <v>5731</v>
      </c>
      <c r="C1314" s="148" t="s">
        <v>244</v>
      </c>
      <c r="D1314" s="148" t="s">
        <v>70</v>
      </c>
      <c r="E1314" s="148">
        <v>5715540.9411764573</v>
      </c>
      <c r="F1314" t="s">
        <v>249</v>
      </c>
      <c r="G1314"/>
    </row>
    <row r="1315" spans="1:7" ht="15.75">
      <c r="A1315" t="str">
        <f t="shared" si="20"/>
        <v>Le VaudNon renseignéCHAUFF</v>
      </c>
      <c r="B1315" s="148">
        <v>5731</v>
      </c>
      <c r="C1315" s="148" t="s">
        <v>244</v>
      </c>
      <c r="D1315" s="148" t="s">
        <v>696</v>
      </c>
      <c r="E1315" s="148">
        <v>0</v>
      </c>
      <c r="F1315" t="s">
        <v>249</v>
      </c>
      <c r="G1315"/>
    </row>
    <row r="1316" spans="1:7" ht="15.75">
      <c r="A1316" t="str">
        <f t="shared" si="20"/>
        <v>Le VaudPACCHAUFF</v>
      </c>
      <c r="B1316" s="148">
        <v>5731</v>
      </c>
      <c r="C1316" s="148" t="s">
        <v>244</v>
      </c>
      <c r="D1316" s="148" t="s">
        <v>69</v>
      </c>
      <c r="E1316" s="148">
        <v>431499.61373437004</v>
      </c>
      <c r="F1316" t="s">
        <v>249</v>
      </c>
      <c r="G1316"/>
    </row>
    <row r="1317" spans="1:7" ht="15.75">
      <c r="A1317" t="str">
        <f t="shared" si="20"/>
        <v>Le VaudSolaireCHAUFF</v>
      </c>
      <c r="B1317" s="148">
        <v>5731</v>
      </c>
      <c r="C1317" s="148" t="s">
        <v>244</v>
      </c>
      <c r="D1317" s="148" t="s">
        <v>240</v>
      </c>
      <c r="E1317" s="148">
        <v>27264</v>
      </c>
      <c r="F1317" t="s">
        <v>249</v>
      </c>
      <c r="G1317"/>
    </row>
    <row r="1318" spans="1:7" ht="15.75">
      <c r="A1318" t="str">
        <f t="shared" si="20"/>
        <v>Le VaudAutre agent énergétiqueCHAUFF</v>
      </c>
      <c r="B1318" s="148">
        <v>5731</v>
      </c>
      <c r="C1318" s="148" t="s">
        <v>244</v>
      </c>
      <c r="D1318" s="148" t="s">
        <v>245</v>
      </c>
      <c r="E1318" s="148" t="e">
        <v>#N/A</v>
      </c>
      <c r="F1318" t="s">
        <v>249</v>
      </c>
      <c r="G1318"/>
    </row>
    <row r="1319" spans="1:7" ht="15.75">
      <c r="A1319" t="str">
        <f t="shared" si="20"/>
        <v>Les CléesBoisCHAUFF</v>
      </c>
      <c r="B1319" s="148">
        <v>5750</v>
      </c>
      <c r="C1319" s="148" t="s">
        <v>636</v>
      </c>
      <c r="D1319" s="148" t="s">
        <v>66</v>
      </c>
      <c r="E1319" s="148">
        <v>616274.13333334995</v>
      </c>
      <c r="F1319" t="s">
        <v>249</v>
      </c>
      <c r="G1319"/>
    </row>
    <row r="1320" spans="1:7" ht="15.75">
      <c r="A1320" t="str">
        <f t="shared" si="20"/>
        <v>Les CléesElectricitéCHAUFF</v>
      </c>
      <c r="B1320" s="148">
        <v>5750</v>
      </c>
      <c r="C1320" s="148" t="s">
        <v>636</v>
      </c>
      <c r="D1320" s="148" t="s">
        <v>97</v>
      </c>
      <c r="E1320" s="148">
        <v>197187.09677419998</v>
      </c>
      <c r="F1320" t="s">
        <v>249</v>
      </c>
      <c r="G1320"/>
    </row>
    <row r="1321" spans="1:7" ht="15.75">
      <c r="A1321" t="str">
        <f t="shared" si="20"/>
        <v>Les CléesGazCHAUFF</v>
      </c>
      <c r="B1321" s="148">
        <v>5750</v>
      </c>
      <c r="C1321" s="148" t="s">
        <v>636</v>
      </c>
      <c r="D1321" s="148" t="s">
        <v>239</v>
      </c>
      <c r="E1321" s="148">
        <v>628998.83591330005</v>
      </c>
      <c r="F1321" t="s">
        <v>249</v>
      </c>
      <c r="G1321"/>
    </row>
    <row r="1322" spans="1:7" ht="15.75">
      <c r="A1322" t="str">
        <f t="shared" si="20"/>
        <v>Les CléesMazoutCHAUFF</v>
      </c>
      <c r="B1322" s="148">
        <v>5750</v>
      </c>
      <c r="C1322" s="148" t="s">
        <v>636</v>
      </c>
      <c r="D1322" s="148" t="s">
        <v>70</v>
      </c>
      <c r="E1322" s="148">
        <v>1598194.8235293904</v>
      </c>
      <c r="F1322" t="s">
        <v>249</v>
      </c>
      <c r="G1322"/>
    </row>
    <row r="1323" spans="1:7" ht="15.75">
      <c r="A1323" t="str">
        <f t="shared" si="20"/>
        <v>Les CléesNon renseignéCHAUFF</v>
      </c>
      <c r="B1323" s="148">
        <v>5750</v>
      </c>
      <c r="C1323" s="148" t="s">
        <v>636</v>
      </c>
      <c r="D1323" s="148" t="s">
        <v>696</v>
      </c>
      <c r="E1323" s="148">
        <v>0</v>
      </c>
      <c r="F1323" t="s">
        <v>249</v>
      </c>
      <c r="G1323"/>
    </row>
    <row r="1324" spans="1:7" ht="15.75">
      <c r="A1324" t="str">
        <f t="shared" si="20"/>
        <v>Les CléesPACCHAUFF</v>
      </c>
      <c r="B1324" s="148">
        <v>5750</v>
      </c>
      <c r="C1324" s="148" t="s">
        <v>636</v>
      </c>
      <c r="D1324" s="148" t="s">
        <v>69</v>
      </c>
      <c r="E1324" s="148">
        <v>19428.148148150001</v>
      </c>
      <c r="F1324" t="s">
        <v>249</v>
      </c>
      <c r="G1324"/>
    </row>
    <row r="1325" spans="1:7" ht="15.75">
      <c r="A1325" t="str">
        <f t="shared" si="20"/>
        <v>Les CléesSolaireCHAUFF</v>
      </c>
      <c r="B1325" s="148">
        <v>5750</v>
      </c>
      <c r="C1325" s="148" t="s">
        <v>636</v>
      </c>
      <c r="D1325" s="148" t="s">
        <v>240</v>
      </c>
      <c r="E1325" s="148" t="e">
        <v>#N/A</v>
      </c>
      <c r="F1325" t="s">
        <v>249</v>
      </c>
      <c r="G1325"/>
    </row>
    <row r="1326" spans="1:7" ht="15.75">
      <c r="A1326" t="str">
        <f t="shared" si="20"/>
        <v>LeysinAutre agent énergétiqueCHAUFF</v>
      </c>
      <c r="B1326" s="148">
        <v>5407</v>
      </c>
      <c r="C1326" s="148" t="s">
        <v>493</v>
      </c>
      <c r="D1326" s="148" t="s">
        <v>245</v>
      </c>
      <c r="E1326" s="148">
        <v>108262.11764707</v>
      </c>
      <c r="F1326" t="s">
        <v>249</v>
      </c>
      <c r="G1326"/>
    </row>
    <row r="1327" spans="1:7" ht="15.75">
      <c r="A1327" t="str">
        <f t="shared" si="20"/>
        <v>LeysinBoisCHAUFF</v>
      </c>
      <c r="B1327" s="148">
        <v>5407</v>
      </c>
      <c r="C1327" s="148" t="s">
        <v>493</v>
      </c>
      <c r="D1327" s="148" t="s">
        <v>66</v>
      </c>
      <c r="E1327" s="148">
        <v>4692604.7435294697</v>
      </c>
      <c r="F1327" t="s">
        <v>249</v>
      </c>
      <c r="G1327"/>
    </row>
    <row r="1328" spans="1:7" ht="15.75">
      <c r="A1328" t="str">
        <f t="shared" si="20"/>
        <v>LeysinCADCHAUFF</v>
      </c>
      <c r="B1328" s="148">
        <v>5407</v>
      </c>
      <c r="C1328" s="148" t="s">
        <v>493</v>
      </c>
      <c r="D1328" s="148" t="s">
        <v>242</v>
      </c>
      <c r="E1328" s="148">
        <v>37317.599999999999</v>
      </c>
      <c r="F1328" t="s">
        <v>249</v>
      </c>
      <c r="G1328"/>
    </row>
    <row r="1329" spans="1:7" ht="15.75">
      <c r="A1329" t="str">
        <f t="shared" si="20"/>
        <v>LeysinElectricitéCHAUFF</v>
      </c>
      <c r="B1329" s="148">
        <v>5407</v>
      </c>
      <c r="C1329" s="148" t="s">
        <v>493</v>
      </c>
      <c r="D1329" s="148" t="s">
        <v>97</v>
      </c>
      <c r="E1329" s="148">
        <v>1873345.3763440605</v>
      </c>
      <c r="F1329" t="s">
        <v>249</v>
      </c>
      <c r="G1329"/>
    </row>
    <row r="1330" spans="1:7" ht="15.75">
      <c r="A1330" t="str">
        <f t="shared" si="20"/>
        <v>LeysinGazCHAUFF</v>
      </c>
      <c r="B1330" s="148">
        <v>5407</v>
      </c>
      <c r="C1330" s="148" t="s">
        <v>493</v>
      </c>
      <c r="D1330" s="148" t="s">
        <v>239</v>
      </c>
      <c r="E1330" s="148">
        <v>39180894.181424178</v>
      </c>
      <c r="F1330" t="s">
        <v>249</v>
      </c>
      <c r="G1330"/>
    </row>
    <row r="1331" spans="1:7" ht="15.75">
      <c r="A1331" t="str">
        <f t="shared" si="20"/>
        <v>LeysinMazoutCHAUFF</v>
      </c>
      <c r="B1331" s="148">
        <v>5407</v>
      </c>
      <c r="C1331" s="148" t="s">
        <v>493</v>
      </c>
      <c r="D1331" s="148" t="s">
        <v>70</v>
      </c>
      <c r="E1331" s="148">
        <v>13388896.595604433</v>
      </c>
      <c r="F1331" t="s">
        <v>249</v>
      </c>
      <c r="G1331"/>
    </row>
    <row r="1332" spans="1:7" ht="15.75">
      <c r="A1332" t="str">
        <f t="shared" si="20"/>
        <v>LeysinNon renseignéCHAUFF</v>
      </c>
      <c r="B1332" s="148">
        <v>5407</v>
      </c>
      <c r="C1332" s="148" t="s">
        <v>493</v>
      </c>
      <c r="D1332" s="148" t="s">
        <v>696</v>
      </c>
      <c r="E1332" s="148">
        <v>0</v>
      </c>
      <c r="F1332" t="s">
        <v>249</v>
      </c>
      <c r="G1332"/>
    </row>
    <row r="1333" spans="1:7" ht="15.75">
      <c r="A1333" t="str">
        <f t="shared" si="20"/>
        <v>LeysinPACCHAUFF</v>
      </c>
      <c r="B1333" s="148">
        <v>5407</v>
      </c>
      <c r="C1333" s="148" t="s">
        <v>493</v>
      </c>
      <c r="D1333" s="148" t="s">
        <v>69</v>
      </c>
      <c r="E1333" s="148">
        <v>28002.586151359999</v>
      </c>
      <c r="F1333" t="s">
        <v>249</v>
      </c>
      <c r="G1333"/>
    </row>
    <row r="1334" spans="1:7" ht="15.75">
      <c r="A1334" t="str">
        <f t="shared" si="20"/>
        <v>LeysinSolaireCHAUFF</v>
      </c>
      <c r="B1334" s="148">
        <v>5407</v>
      </c>
      <c r="C1334" s="148" t="s">
        <v>493</v>
      </c>
      <c r="D1334" s="148" t="s">
        <v>240</v>
      </c>
      <c r="E1334" s="148">
        <v>162875.25</v>
      </c>
      <c r="F1334" t="s">
        <v>249</v>
      </c>
      <c r="G1334"/>
    </row>
    <row r="1335" spans="1:7" ht="15.75">
      <c r="A1335" t="str">
        <f t="shared" si="20"/>
        <v>LeysinCharbonCHAUFF</v>
      </c>
      <c r="B1335" s="148">
        <v>5407</v>
      </c>
      <c r="C1335" s="148" t="s">
        <v>493</v>
      </c>
      <c r="D1335" s="148" t="s">
        <v>695</v>
      </c>
      <c r="E1335" s="148" t="e">
        <v>#N/A</v>
      </c>
      <c r="F1335" t="s">
        <v>249</v>
      </c>
      <c r="G1335"/>
    </row>
    <row r="1336" spans="1:7" ht="15.75">
      <c r="A1336" t="str">
        <f t="shared" si="20"/>
        <v>LignerolleAutre agent énergétiqueCHAUFF</v>
      </c>
      <c r="B1336" s="148">
        <v>5755</v>
      </c>
      <c r="C1336" s="148" t="s">
        <v>494</v>
      </c>
      <c r="D1336" s="148" t="s">
        <v>245</v>
      </c>
      <c r="E1336" s="148">
        <v>21244.611764699999</v>
      </c>
      <c r="F1336" t="s">
        <v>249</v>
      </c>
      <c r="G1336"/>
    </row>
    <row r="1337" spans="1:7" ht="15.75">
      <c r="A1337" t="str">
        <f t="shared" si="20"/>
        <v>LignerolleBoisCHAUFF</v>
      </c>
      <c r="B1337" s="148">
        <v>5755</v>
      </c>
      <c r="C1337" s="148" t="s">
        <v>494</v>
      </c>
      <c r="D1337" s="148" t="s">
        <v>66</v>
      </c>
      <c r="E1337" s="148">
        <v>1712984.5333333397</v>
      </c>
      <c r="F1337" t="s">
        <v>249</v>
      </c>
      <c r="G1337"/>
    </row>
    <row r="1338" spans="1:7" ht="15.75">
      <c r="A1338" t="str">
        <f t="shared" si="20"/>
        <v>LignerolleElectricitéCHAUFF</v>
      </c>
      <c r="B1338" s="148">
        <v>5755</v>
      </c>
      <c r="C1338" s="148" t="s">
        <v>494</v>
      </c>
      <c r="D1338" s="148" t="s">
        <v>97</v>
      </c>
      <c r="E1338" s="148">
        <v>251343.65591396997</v>
      </c>
      <c r="F1338" t="s">
        <v>249</v>
      </c>
      <c r="G1338"/>
    </row>
    <row r="1339" spans="1:7" ht="15.75">
      <c r="A1339" t="str">
        <f t="shared" si="20"/>
        <v>LignerolleGazCHAUFF</v>
      </c>
      <c r="B1339" s="148">
        <v>5755</v>
      </c>
      <c r="C1339" s="148" t="s">
        <v>494</v>
      </c>
      <c r="D1339" s="148" t="s">
        <v>239</v>
      </c>
      <c r="E1339" s="148">
        <v>1335106.6352941201</v>
      </c>
      <c r="F1339" t="s">
        <v>249</v>
      </c>
      <c r="G1339"/>
    </row>
    <row r="1340" spans="1:7" ht="15.75">
      <c r="A1340" t="str">
        <f t="shared" si="20"/>
        <v>LignerolleMazoutCHAUFF</v>
      </c>
      <c r="B1340" s="148">
        <v>5755</v>
      </c>
      <c r="C1340" s="148" t="s">
        <v>494</v>
      </c>
      <c r="D1340" s="148" t="s">
        <v>70</v>
      </c>
      <c r="E1340" s="148">
        <v>3147958.1176470798</v>
      </c>
      <c r="F1340" t="s">
        <v>249</v>
      </c>
      <c r="G1340"/>
    </row>
    <row r="1341" spans="1:7" ht="15.75">
      <c r="A1341" t="str">
        <f t="shared" si="20"/>
        <v>LignerolleNon renseignéCHAUFF</v>
      </c>
      <c r="B1341" s="148">
        <v>5755</v>
      </c>
      <c r="C1341" s="148" t="s">
        <v>494</v>
      </c>
      <c r="D1341" s="148" t="s">
        <v>696</v>
      </c>
      <c r="E1341" s="148">
        <v>0</v>
      </c>
      <c r="F1341" t="s">
        <v>249</v>
      </c>
      <c r="G1341"/>
    </row>
    <row r="1342" spans="1:7" ht="15.75">
      <c r="A1342" t="str">
        <f t="shared" si="20"/>
        <v>LignerollePACCHAUFF</v>
      </c>
      <c r="B1342" s="148">
        <v>5755</v>
      </c>
      <c r="C1342" s="148" t="s">
        <v>494</v>
      </c>
      <c r="D1342" s="148" t="s">
        <v>69</v>
      </c>
      <c r="E1342" s="148">
        <v>27242.074074069998</v>
      </c>
      <c r="F1342" t="s">
        <v>249</v>
      </c>
      <c r="G1342"/>
    </row>
    <row r="1343" spans="1:7" ht="15.75">
      <c r="A1343" t="str">
        <f t="shared" si="20"/>
        <v>LignerolleSolaireCHAUFF</v>
      </c>
      <c r="B1343" s="148">
        <v>5755</v>
      </c>
      <c r="C1343" s="148" t="s">
        <v>494</v>
      </c>
      <c r="D1343" s="148" t="s">
        <v>240</v>
      </c>
      <c r="E1343" s="148" t="e">
        <v>#N/A</v>
      </c>
      <c r="F1343" t="s">
        <v>249</v>
      </c>
      <c r="G1343"/>
    </row>
    <row r="1344" spans="1:7" ht="15.75">
      <c r="A1344" t="str">
        <f t="shared" si="20"/>
        <v>LonayAutre agent énergétiqueCHAUFF</v>
      </c>
      <c r="B1344" s="148">
        <v>5638</v>
      </c>
      <c r="C1344" s="148" t="s">
        <v>495</v>
      </c>
      <c r="D1344" s="148" t="s">
        <v>245</v>
      </c>
      <c r="E1344" s="148">
        <v>9317.6470588200009</v>
      </c>
      <c r="F1344" t="s">
        <v>249</v>
      </c>
      <c r="G1344"/>
    </row>
    <row r="1345" spans="1:7" ht="15.75">
      <c r="A1345" t="str">
        <f t="shared" si="20"/>
        <v>LonayBoisCHAUFF</v>
      </c>
      <c r="B1345" s="148">
        <v>5638</v>
      </c>
      <c r="C1345" s="148" t="s">
        <v>495</v>
      </c>
      <c r="D1345" s="148" t="s">
        <v>66</v>
      </c>
      <c r="E1345" s="148">
        <v>890009.62352940999</v>
      </c>
      <c r="F1345" t="s">
        <v>249</v>
      </c>
      <c r="G1345"/>
    </row>
    <row r="1346" spans="1:7" ht="15.75">
      <c r="A1346" t="str">
        <f t="shared" si="20"/>
        <v>LonayCADCHAUFF</v>
      </c>
      <c r="B1346" s="148">
        <v>5638</v>
      </c>
      <c r="C1346" s="148" t="s">
        <v>495</v>
      </c>
      <c r="D1346" s="148" t="s">
        <v>242</v>
      </c>
      <c r="E1346" s="148">
        <v>260666.4</v>
      </c>
      <c r="F1346" t="s">
        <v>249</v>
      </c>
      <c r="G1346"/>
    </row>
    <row r="1347" spans="1:7" ht="15.75">
      <c r="A1347" t="str">
        <f t="shared" si="20"/>
        <v>LonayElectricitéCHAUFF</v>
      </c>
      <c r="B1347" s="148">
        <v>5638</v>
      </c>
      <c r="C1347" s="148" t="s">
        <v>495</v>
      </c>
      <c r="D1347" s="148" t="s">
        <v>97</v>
      </c>
      <c r="E1347" s="148">
        <v>2300626.0215053996</v>
      </c>
      <c r="F1347" t="s">
        <v>249</v>
      </c>
      <c r="G1347"/>
    </row>
    <row r="1348" spans="1:7" ht="15.75">
      <c r="A1348" t="str">
        <f t="shared" si="20"/>
        <v>LonayGazCHAUFF</v>
      </c>
      <c r="B1348" s="148">
        <v>5638</v>
      </c>
      <c r="C1348" s="148" t="s">
        <v>495</v>
      </c>
      <c r="D1348" s="148" t="s">
        <v>239</v>
      </c>
      <c r="E1348" s="148">
        <v>12482363.9938081</v>
      </c>
      <c r="F1348" t="s">
        <v>249</v>
      </c>
      <c r="G1348"/>
    </row>
    <row r="1349" spans="1:7" ht="15.75">
      <c r="A1349" t="str">
        <f t="shared" si="20"/>
        <v>LonayMazoutCHAUFF</v>
      </c>
      <c r="B1349" s="148">
        <v>5638</v>
      </c>
      <c r="C1349" s="148" t="s">
        <v>495</v>
      </c>
      <c r="D1349" s="148" t="s">
        <v>70</v>
      </c>
      <c r="E1349" s="148">
        <v>11068994.84705887</v>
      </c>
      <c r="F1349" t="s">
        <v>249</v>
      </c>
      <c r="G1349"/>
    </row>
    <row r="1350" spans="1:7" ht="15.75">
      <c r="A1350" t="str">
        <f t="shared" si="20"/>
        <v>LonayNon renseignéCHAUFF</v>
      </c>
      <c r="B1350" s="148">
        <v>5638</v>
      </c>
      <c r="C1350" s="148" t="s">
        <v>495</v>
      </c>
      <c r="D1350" s="148" t="s">
        <v>696</v>
      </c>
      <c r="E1350" s="148">
        <v>0</v>
      </c>
      <c r="F1350" t="s">
        <v>249</v>
      </c>
      <c r="G1350"/>
    </row>
    <row r="1351" spans="1:7" ht="15.75">
      <c r="A1351" t="str">
        <f t="shared" si="20"/>
        <v>LonayPACCHAUFF</v>
      </c>
      <c r="B1351" s="148">
        <v>5638</v>
      </c>
      <c r="C1351" s="148" t="s">
        <v>495</v>
      </c>
      <c r="D1351" s="148" t="s">
        <v>69</v>
      </c>
      <c r="E1351" s="148">
        <v>434309.28772529995</v>
      </c>
      <c r="F1351" t="s">
        <v>249</v>
      </c>
      <c r="G1351"/>
    </row>
    <row r="1352" spans="1:7" ht="15.75">
      <c r="A1352" t="str">
        <f t="shared" si="20"/>
        <v>LonaySolaireCHAUFF</v>
      </c>
      <c r="B1352" s="148">
        <v>5638</v>
      </c>
      <c r="C1352" s="148" t="s">
        <v>495</v>
      </c>
      <c r="D1352" s="148" t="s">
        <v>240</v>
      </c>
      <c r="E1352" s="148" t="e">
        <v>#N/A</v>
      </c>
      <c r="F1352" t="s">
        <v>249</v>
      </c>
      <c r="G1352"/>
    </row>
    <row r="1353" spans="1:7" ht="15.75">
      <c r="A1353" t="str">
        <f t="shared" si="20"/>
        <v>LongirodBoisCHAUFF</v>
      </c>
      <c r="B1353" s="148">
        <v>5429</v>
      </c>
      <c r="C1353" s="148" t="s">
        <v>496</v>
      </c>
      <c r="D1353" s="148" t="s">
        <v>66</v>
      </c>
      <c r="E1353" s="148">
        <v>1052563.1999999899</v>
      </c>
      <c r="F1353" t="s">
        <v>249</v>
      </c>
      <c r="G1353"/>
    </row>
    <row r="1354" spans="1:7" ht="15.75">
      <c r="A1354" t="str">
        <f t="shared" si="20"/>
        <v>LongirodCADCHAUFF</v>
      </c>
      <c r="B1354" s="148">
        <v>5429</v>
      </c>
      <c r="C1354" s="148" t="s">
        <v>496</v>
      </c>
      <c r="D1354" s="148" t="s">
        <v>242</v>
      </c>
      <c r="E1354" s="148">
        <v>1273968.6000000001</v>
      </c>
      <c r="F1354" t="s">
        <v>249</v>
      </c>
      <c r="G1354"/>
    </row>
    <row r="1355" spans="1:7" ht="15.75">
      <c r="A1355" t="str">
        <f t="shared" ref="A1355:A1418" si="21">_xlfn.CONCAT(C1355,D1355,F1355)</f>
        <v>LongirodElectricitéCHAUFF</v>
      </c>
      <c r="B1355" s="148">
        <v>5429</v>
      </c>
      <c r="C1355" s="148" t="s">
        <v>496</v>
      </c>
      <c r="D1355" s="148" t="s">
        <v>97</v>
      </c>
      <c r="E1355" s="148">
        <v>1067284.9032257998</v>
      </c>
      <c r="F1355" t="s">
        <v>249</v>
      </c>
      <c r="G1355"/>
    </row>
    <row r="1356" spans="1:7" ht="15.75">
      <c r="A1356" t="str">
        <f t="shared" si="21"/>
        <v>LongirodGazCHAUFF</v>
      </c>
      <c r="B1356" s="148">
        <v>5429</v>
      </c>
      <c r="C1356" s="148" t="s">
        <v>496</v>
      </c>
      <c r="D1356" s="148" t="s">
        <v>239</v>
      </c>
      <c r="E1356" s="148">
        <v>186727.02786377998</v>
      </c>
      <c r="F1356" t="s">
        <v>249</v>
      </c>
      <c r="G1356"/>
    </row>
    <row r="1357" spans="1:7" ht="15.75">
      <c r="A1357" t="str">
        <f t="shared" si="21"/>
        <v>LongirodMazoutCHAUFF</v>
      </c>
      <c r="B1357" s="148">
        <v>5429</v>
      </c>
      <c r="C1357" s="148" t="s">
        <v>496</v>
      </c>
      <c r="D1357" s="148" t="s">
        <v>70</v>
      </c>
      <c r="E1357" s="148">
        <v>2463099.7647058596</v>
      </c>
      <c r="F1357" t="s">
        <v>249</v>
      </c>
      <c r="G1357"/>
    </row>
    <row r="1358" spans="1:7" ht="15.75">
      <c r="A1358" t="str">
        <f t="shared" si="21"/>
        <v>LongirodNon renseignéCHAUFF</v>
      </c>
      <c r="B1358" s="148">
        <v>5429</v>
      </c>
      <c r="C1358" s="148" t="s">
        <v>496</v>
      </c>
      <c r="D1358" s="148" t="s">
        <v>696</v>
      </c>
      <c r="E1358" s="148">
        <v>0</v>
      </c>
      <c r="F1358" t="s">
        <v>249</v>
      </c>
      <c r="G1358"/>
    </row>
    <row r="1359" spans="1:7" ht="15.75">
      <c r="A1359" t="str">
        <f t="shared" si="21"/>
        <v>LongirodPACCHAUFF</v>
      </c>
      <c r="B1359" s="148">
        <v>5429</v>
      </c>
      <c r="C1359" s="148" t="s">
        <v>496</v>
      </c>
      <c r="D1359" s="148" t="s">
        <v>69</v>
      </c>
      <c r="E1359" s="148">
        <v>55979.407407409999</v>
      </c>
      <c r="F1359" t="s">
        <v>249</v>
      </c>
      <c r="G1359"/>
    </row>
    <row r="1360" spans="1:7" ht="15.75">
      <c r="A1360" t="str">
        <f t="shared" si="21"/>
        <v>LongirodSolaireCHAUFF</v>
      </c>
      <c r="B1360" s="148">
        <v>5429</v>
      </c>
      <c r="C1360" s="148" t="s">
        <v>496</v>
      </c>
      <c r="D1360" s="148" t="s">
        <v>240</v>
      </c>
      <c r="E1360" s="148">
        <v>11481.6</v>
      </c>
      <c r="F1360" t="s">
        <v>249</v>
      </c>
      <c r="G1360"/>
    </row>
    <row r="1361" spans="1:7" ht="15.75">
      <c r="A1361" t="str">
        <f t="shared" si="21"/>
        <v>LongirodAutre agent énergétiqueCHAUFF</v>
      </c>
      <c r="B1361" s="148">
        <v>5429</v>
      </c>
      <c r="C1361" s="148" t="s">
        <v>496</v>
      </c>
      <c r="D1361" s="148" t="s">
        <v>245</v>
      </c>
      <c r="E1361" s="148" t="e">
        <v>#N/A</v>
      </c>
      <c r="F1361" t="s">
        <v>249</v>
      </c>
      <c r="G1361"/>
    </row>
    <row r="1362" spans="1:7" ht="15.75">
      <c r="A1362" t="str">
        <f t="shared" si="21"/>
        <v>LovatensBoisCHAUFF</v>
      </c>
      <c r="B1362" s="148">
        <v>5674</v>
      </c>
      <c r="C1362" s="148" t="s">
        <v>497</v>
      </c>
      <c r="D1362" s="148" t="s">
        <v>66</v>
      </c>
      <c r="E1362" s="148">
        <v>1194197.9294117498</v>
      </c>
      <c r="F1362" t="s">
        <v>249</v>
      </c>
      <c r="G1362"/>
    </row>
    <row r="1363" spans="1:7" ht="15.75">
      <c r="A1363" t="str">
        <f t="shared" si="21"/>
        <v>LovatensElectricitéCHAUFF</v>
      </c>
      <c r="B1363" s="148">
        <v>5674</v>
      </c>
      <c r="C1363" s="148" t="s">
        <v>497</v>
      </c>
      <c r="D1363" s="148" t="s">
        <v>97</v>
      </c>
      <c r="E1363" s="148">
        <v>22720</v>
      </c>
      <c r="F1363" t="s">
        <v>249</v>
      </c>
      <c r="G1363"/>
    </row>
    <row r="1364" spans="1:7" ht="15.75">
      <c r="A1364" t="str">
        <f t="shared" si="21"/>
        <v>LovatensGazCHAUFF</v>
      </c>
      <c r="B1364" s="148">
        <v>5674</v>
      </c>
      <c r="C1364" s="148" t="s">
        <v>497</v>
      </c>
      <c r="D1364" s="148" t="s">
        <v>239</v>
      </c>
      <c r="E1364" s="148">
        <v>291643.05882351997</v>
      </c>
      <c r="F1364" t="s">
        <v>249</v>
      </c>
      <c r="G1364"/>
    </row>
    <row r="1365" spans="1:7" ht="15.75">
      <c r="A1365" t="str">
        <f t="shared" si="21"/>
        <v>LovatensMazoutCHAUFF</v>
      </c>
      <c r="B1365" s="148">
        <v>5674</v>
      </c>
      <c r="C1365" s="148" t="s">
        <v>497</v>
      </c>
      <c r="D1365" s="148" t="s">
        <v>70</v>
      </c>
      <c r="E1365" s="148">
        <v>2023687.7647058796</v>
      </c>
      <c r="F1365" t="s">
        <v>249</v>
      </c>
      <c r="G1365"/>
    </row>
    <row r="1366" spans="1:7" ht="15.75">
      <c r="A1366" t="str">
        <f t="shared" si="21"/>
        <v>LovatensNon renseignéCHAUFF</v>
      </c>
      <c r="B1366" s="148">
        <v>5674</v>
      </c>
      <c r="C1366" s="148" t="s">
        <v>497</v>
      </c>
      <c r="D1366" s="148" t="s">
        <v>696</v>
      </c>
      <c r="E1366" s="148">
        <v>0</v>
      </c>
      <c r="F1366" t="s">
        <v>249</v>
      </c>
      <c r="G1366"/>
    </row>
    <row r="1367" spans="1:7" ht="15.75">
      <c r="A1367" t="str">
        <f t="shared" si="21"/>
        <v>LovatensPACCHAUFF</v>
      </c>
      <c r="B1367" s="148">
        <v>5674</v>
      </c>
      <c r="C1367" s="148" t="s">
        <v>497</v>
      </c>
      <c r="D1367" s="148" t="s">
        <v>69</v>
      </c>
      <c r="E1367" s="148">
        <v>24199.723027370001</v>
      </c>
      <c r="F1367" t="s">
        <v>249</v>
      </c>
      <c r="G1367"/>
    </row>
    <row r="1368" spans="1:7" ht="15.75">
      <c r="A1368" t="str">
        <f t="shared" si="21"/>
        <v>LovatensSolaireCHAUFF</v>
      </c>
      <c r="B1368" s="148">
        <v>5674</v>
      </c>
      <c r="C1368" s="148" t="s">
        <v>497</v>
      </c>
      <c r="D1368" s="148" t="s">
        <v>240</v>
      </c>
      <c r="E1368" s="148" t="e">
        <v>#N/A</v>
      </c>
      <c r="F1368" t="s">
        <v>249</v>
      </c>
      <c r="G1368"/>
    </row>
    <row r="1369" spans="1:7" ht="15.75">
      <c r="A1369" t="str">
        <f t="shared" si="21"/>
        <v>LucensAutre agent énergétiqueCHAUFF</v>
      </c>
      <c r="B1369" s="148">
        <v>5675</v>
      </c>
      <c r="C1369" s="148" t="s">
        <v>498</v>
      </c>
      <c r="D1369" s="148" t="s">
        <v>245</v>
      </c>
      <c r="E1369" s="148">
        <v>100756.70588235999</v>
      </c>
      <c r="F1369" t="s">
        <v>249</v>
      </c>
      <c r="G1369"/>
    </row>
    <row r="1370" spans="1:7" ht="15.75">
      <c r="A1370" t="str">
        <f t="shared" si="21"/>
        <v>LucensBoisCHAUFF</v>
      </c>
      <c r="B1370" s="148">
        <v>5675</v>
      </c>
      <c r="C1370" s="148" t="s">
        <v>498</v>
      </c>
      <c r="D1370" s="148" t="s">
        <v>66</v>
      </c>
      <c r="E1370" s="148">
        <v>8625935.7443137188</v>
      </c>
      <c r="F1370" t="s">
        <v>249</v>
      </c>
      <c r="G1370"/>
    </row>
    <row r="1371" spans="1:7" ht="15.75">
      <c r="A1371" t="str">
        <f t="shared" si="21"/>
        <v>LucensCADCHAUFF</v>
      </c>
      <c r="B1371" s="148">
        <v>5675</v>
      </c>
      <c r="C1371" s="148" t="s">
        <v>498</v>
      </c>
      <c r="D1371" s="148" t="s">
        <v>242</v>
      </c>
      <c r="E1371" s="148">
        <v>786034.30000000016</v>
      </c>
      <c r="F1371" t="s">
        <v>249</v>
      </c>
      <c r="G1371"/>
    </row>
    <row r="1372" spans="1:7" ht="15.75">
      <c r="A1372" t="str">
        <f t="shared" si="21"/>
        <v>LucensElectricitéCHAUFF</v>
      </c>
      <c r="B1372" s="148">
        <v>5675</v>
      </c>
      <c r="C1372" s="148" t="s">
        <v>498</v>
      </c>
      <c r="D1372" s="148" t="s">
        <v>97</v>
      </c>
      <c r="E1372" s="148">
        <v>2896608.1720429901</v>
      </c>
      <c r="F1372" t="s">
        <v>249</v>
      </c>
      <c r="G1372"/>
    </row>
    <row r="1373" spans="1:7" ht="15.75">
      <c r="A1373" t="str">
        <f t="shared" si="21"/>
        <v>LucensGazCHAUFF</v>
      </c>
      <c r="B1373" s="148">
        <v>5675</v>
      </c>
      <c r="C1373" s="148" t="s">
        <v>498</v>
      </c>
      <c r="D1373" s="148" t="s">
        <v>239</v>
      </c>
      <c r="E1373" s="148">
        <v>9791739.99236314</v>
      </c>
      <c r="F1373" t="s">
        <v>249</v>
      </c>
      <c r="G1373"/>
    </row>
    <row r="1374" spans="1:7" ht="15.75">
      <c r="A1374" t="str">
        <f t="shared" si="21"/>
        <v>LucensMazoutCHAUFF</v>
      </c>
      <c r="B1374" s="148">
        <v>5675</v>
      </c>
      <c r="C1374" s="148" t="s">
        <v>498</v>
      </c>
      <c r="D1374" s="148" t="s">
        <v>70</v>
      </c>
      <c r="E1374" s="148">
        <v>19533532.682352997</v>
      </c>
      <c r="F1374" t="s">
        <v>249</v>
      </c>
      <c r="G1374"/>
    </row>
    <row r="1375" spans="1:7" ht="15.75">
      <c r="A1375" t="str">
        <f t="shared" si="21"/>
        <v>LucensNon renseignéCHAUFF</v>
      </c>
      <c r="B1375" s="148">
        <v>5675</v>
      </c>
      <c r="C1375" s="148" t="s">
        <v>498</v>
      </c>
      <c r="D1375" s="148" t="s">
        <v>696</v>
      </c>
      <c r="E1375" s="148">
        <v>0</v>
      </c>
      <c r="F1375" t="s">
        <v>249</v>
      </c>
      <c r="G1375"/>
    </row>
    <row r="1376" spans="1:7" ht="15.75">
      <c r="A1376" t="str">
        <f t="shared" si="21"/>
        <v>LucensPACCHAUFF</v>
      </c>
      <c r="B1376" s="148">
        <v>5675</v>
      </c>
      <c r="C1376" s="148" t="s">
        <v>498</v>
      </c>
      <c r="D1376" s="148" t="s">
        <v>69</v>
      </c>
      <c r="E1376" s="148">
        <v>733159.31475763035</v>
      </c>
      <c r="F1376" t="s">
        <v>249</v>
      </c>
      <c r="G1376"/>
    </row>
    <row r="1377" spans="1:7" ht="15.75">
      <c r="A1377" t="str">
        <f t="shared" si="21"/>
        <v>LucensSolaireCHAUFF</v>
      </c>
      <c r="B1377" s="148">
        <v>5675</v>
      </c>
      <c r="C1377" s="148" t="s">
        <v>498</v>
      </c>
      <c r="D1377" s="148" t="s">
        <v>240</v>
      </c>
      <c r="E1377" s="148">
        <v>20016</v>
      </c>
      <c r="F1377" t="s">
        <v>249</v>
      </c>
      <c r="G1377"/>
    </row>
    <row r="1378" spans="1:7" ht="15.75">
      <c r="A1378" t="str">
        <f t="shared" si="21"/>
        <v>LuinsBoisCHAUFF</v>
      </c>
      <c r="B1378" s="148">
        <v>5858</v>
      </c>
      <c r="C1378" s="148" t="s">
        <v>499</v>
      </c>
      <c r="D1378" s="148" t="s">
        <v>66</v>
      </c>
      <c r="E1378" s="148">
        <v>81029.066666660001</v>
      </c>
      <c r="F1378" t="s">
        <v>249</v>
      </c>
      <c r="G1378"/>
    </row>
    <row r="1379" spans="1:7" ht="15.75">
      <c r="A1379" t="str">
        <f t="shared" si="21"/>
        <v>LuinsElectricitéCHAUFF</v>
      </c>
      <c r="B1379" s="148">
        <v>5858</v>
      </c>
      <c r="C1379" s="148" t="s">
        <v>499</v>
      </c>
      <c r="D1379" s="148" t="s">
        <v>97</v>
      </c>
      <c r="E1379" s="148">
        <v>825573.33333333011</v>
      </c>
      <c r="F1379" t="s">
        <v>249</v>
      </c>
      <c r="G1379"/>
    </row>
    <row r="1380" spans="1:7" ht="15.75">
      <c r="A1380" t="str">
        <f t="shared" si="21"/>
        <v>LuinsGazCHAUFF</v>
      </c>
      <c r="B1380" s="148">
        <v>5858</v>
      </c>
      <c r="C1380" s="148" t="s">
        <v>499</v>
      </c>
      <c r="D1380" s="148" t="s">
        <v>239</v>
      </c>
      <c r="E1380" s="148">
        <v>3179974.4489163999</v>
      </c>
      <c r="F1380" t="s">
        <v>249</v>
      </c>
      <c r="G1380"/>
    </row>
    <row r="1381" spans="1:7" ht="15.75">
      <c r="A1381" t="str">
        <f t="shared" si="21"/>
        <v>LuinsMazoutCHAUFF</v>
      </c>
      <c r="B1381" s="148">
        <v>5858</v>
      </c>
      <c r="C1381" s="148" t="s">
        <v>499</v>
      </c>
      <c r="D1381" s="148" t="s">
        <v>70</v>
      </c>
      <c r="E1381" s="148">
        <v>1845395.99999999</v>
      </c>
      <c r="F1381" t="s">
        <v>249</v>
      </c>
      <c r="G1381"/>
    </row>
    <row r="1382" spans="1:7" ht="15.75">
      <c r="A1382" t="str">
        <f t="shared" si="21"/>
        <v>LuinsNon renseignéCHAUFF</v>
      </c>
      <c r="B1382" s="148">
        <v>5858</v>
      </c>
      <c r="C1382" s="148" t="s">
        <v>499</v>
      </c>
      <c r="D1382" s="148" t="s">
        <v>696</v>
      </c>
      <c r="E1382" s="148">
        <v>0</v>
      </c>
      <c r="F1382" t="s">
        <v>249</v>
      </c>
      <c r="G1382"/>
    </row>
    <row r="1383" spans="1:7" ht="15.75">
      <c r="A1383" t="str">
        <f t="shared" si="21"/>
        <v>LuinsPACCHAUFF</v>
      </c>
      <c r="B1383" s="148">
        <v>5858</v>
      </c>
      <c r="C1383" s="148" t="s">
        <v>499</v>
      </c>
      <c r="D1383" s="148" t="s">
        <v>69</v>
      </c>
      <c r="E1383" s="148">
        <v>206320.55233491005</v>
      </c>
      <c r="F1383" t="s">
        <v>249</v>
      </c>
      <c r="G1383"/>
    </row>
    <row r="1384" spans="1:7" ht="15.75">
      <c r="A1384" t="str">
        <f t="shared" si="21"/>
        <v>LuinsSolaireCHAUFF</v>
      </c>
      <c r="B1384" s="148">
        <v>5858</v>
      </c>
      <c r="C1384" s="148" t="s">
        <v>499</v>
      </c>
      <c r="D1384" s="148" t="s">
        <v>240</v>
      </c>
      <c r="E1384" s="148">
        <v>49984</v>
      </c>
      <c r="F1384" t="s">
        <v>249</v>
      </c>
      <c r="G1384"/>
    </row>
    <row r="1385" spans="1:7" ht="15.75">
      <c r="A1385" t="str">
        <f t="shared" si="21"/>
        <v>Lully (VD)BoisCHAUFF</v>
      </c>
      <c r="B1385" s="148">
        <v>5639</v>
      </c>
      <c r="C1385" s="148" t="s">
        <v>634</v>
      </c>
      <c r="D1385" s="148" t="s">
        <v>66</v>
      </c>
      <c r="E1385" s="148">
        <v>295777.18588235002</v>
      </c>
      <c r="F1385" t="s">
        <v>249</v>
      </c>
      <c r="G1385"/>
    </row>
    <row r="1386" spans="1:7" ht="15.75">
      <c r="A1386" t="str">
        <f t="shared" si="21"/>
        <v>Lully (VD)ElectricitéCHAUFF</v>
      </c>
      <c r="B1386" s="148">
        <v>5639</v>
      </c>
      <c r="C1386" s="148" t="s">
        <v>634</v>
      </c>
      <c r="D1386" s="148" t="s">
        <v>97</v>
      </c>
      <c r="E1386" s="148">
        <v>746567.63440860994</v>
      </c>
      <c r="F1386" t="s">
        <v>249</v>
      </c>
      <c r="G1386"/>
    </row>
    <row r="1387" spans="1:7" ht="15.75">
      <c r="A1387" t="str">
        <f t="shared" si="21"/>
        <v>Lully (VD)GazCHAUFF</v>
      </c>
      <c r="B1387" s="148">
        <v>5639</v>
      </c>
      <c r="C1387" s="148" t="s">
        <v>634</v>
      </c>
      <c r="D1387" s="148" t="s">
        <v>239</v>
      </c>
      <c r="E1387" s="148">
        <v>3179513.9380805101</v>
      </c>
      <c r="F1387" t="s">
        <v>249</v>
      </c>
      <c r="G1387"/>
    </row>
    <row r="1388" spans="1:7" ht="15.75">
      <c r="A1388" t="str">
        <f t="shared" si="21"/>
        <v>Lully (VD)MazoutCHAUFF</v>
      </c>
      <c r="B1388" s="148">
        <v>5639</v>
      </c>
      <c r="C1388" s="148" t="s">
        <v>634</v>
      </c>
      <c r="D1388" s="148" t="s">
        <v>70</v>
      </c>
      <c r="E1388" s="148">
        <v>3006641.1764705493</v>
      </c>
      <c r="F1388" t="s">
        <v>249</v>
      </c>
      <c r="G1388"/>
    </row>
    <row r="1389" spans="1:7" ht="15.75">
      <c r="A1389" t="str">
        <f t="shared" si="21"/>
        <v>Lully (VD)Non renseignéCHAUFF</v>
      </c>
      <c r="B1389" s="148">
        <v>5639</v>
      </c>
      <c r="C1389" s="148" t="s">
        <v>634</v>
      </c>
      <c r="D1389" s="148" t="s">
        <v>696</v>
      </c>
      <c r="E1389" s="148">
        <v>0</v>
      </c>
      <c r="F1389" t="s">
        <v>249</v>
      </c>
      <c r="G1389"/>
    </row>
    <row r="1390" spans="1:7" ht="15.75">
      <c r="A1390" t="str">
        <f t="shared" si="21"/>
        <v>Lully (VD)PACCHAUFF</v>
      </c>
      <c r="B1390" s="148">
        <v>5639</v>
      </c>
      <c r="C1390" s="148" t="s">
        <v>634</v>
      </c>
      <c r="D1390" s="148" t="s">
        <v>69</v>
      </c>
      <c r="E1390" s="148">
        <v>175997.89114333002</v>
      </c>
      <c r="F1390" t="s">
        <v>249</v>
      </c>
      <c r="G1390"/>
    </row>
    <row r="1391" spans="1:7" ht="15.75">
      <c r="A1391" t="str">
        <f t="shared" si="21"/>
        <v>Lully (VD)SolaireCHAUFF</v>
      </c>
      <c r="B1391" s="148">
        <v>5639</v>
      </c>
      <c r="C1391" s="148" t="s">
        <v>634</v>
      </c>
      <c r="D1391" s="148" t="s">
        <v>240</v>
      </c>
      <c r="E1391" s="148">
        <v>13728</v>
      </c>
      <c r="F1391" t="s">
        <v>249</v>
      </c>
      <c r="G1391"/>
    </row>
    <row r="1392" spans="1:7" ht="15.75">
      <c r="A1392" t="str">
        <f t="shared" si="21"/>
        <v>Lully (VD)Autre agent énergétiqueCHAUFF</v>
      </c>
      <c r="B1392" s="148">
        <v>5639</v>
      </c>
      <c r="C1392" s="148" t="s">
        <v>634</v>
      </c>
      <c r="D1392" s="148" t="s">
        <v>245</v>
      </c>
      <c r="E1392" s="148" t="e">
        <v>#N/A</v>
      </c>
      <c r="F1392" t="s">
        <v>249</v>
      </c>
      <c r="G1392"/>
    </row>
    <row r="1393" spans="1:7" ht="15.75">
      <c r="A1393" t="str">
        <f t="shared" si="21"/>
        <v>Lully (VD)CharbonCHAUFF</v>
      </c>
      <c r="B1393" s="148">
        <v>5639</v>
      </c>
      <c r="C1393" s="148" t="s">
        <v>634</v>
      </c>
      <c r="D1393" s="148" t="s">
        <v>695</v>
      </c>
      <c r="E1393" s="148" t="e">
        <v>#N/A</v>
      </c>
      <c r="F1393" t="s">
        <v>249</v>
      </c>
      <c r="G1393"/>
    </row>
    <row r="1394" spans="1:7" ht="15.75">
      <c r="A1394" t="str">
        <f t="shared" si="21"/>
        <v>Lussery-VillarsBoisCHAUFF</v>
      </c>
      <c r="B1394" s="148">
        <v>5487</v>
      </c>
      <c r="C1394" s="148" t="s">
        <v>500</v>
      </c>
      <c r="D1394" s="148" t="s">
        <v>66</v>
      </c>
      <c r="E1394" s="148">
        <v>11360</v>
      </c>
      <c r="F1394" t="s">
        <v>249</v>
      </c>
      <c r="G1394"/>
    </row>
    <row r="1395" spans="1:7" ht="15.75">
      <c r="A1395" t="str">
        <f t="shared" si="21"/>
        <v>Lussery-VillarsElectricitéCHAUFF</v>
      </c>
      <c r="B1395" s="148">
        <v>5487</v>
      </c>
      <c r="C1395" s="148" t="s">
        <v>500</v>
      </c>
      <c r="D1395" s="148" t="s">
        <v>97</v>
      </c>
      <c r="E1395" s="148">
        <v>454937.37634407001</v>
      </c>
      <c r="F1395" t="s">
        <v>249</v>
      </c>
      <c r="G1395"/>
    </row>
    <row r="1396" spans="1:7" ht="15.75">
      <c r="A1396" t="str">
        <f t="shared" si="21"/>
        <v>Lussery-VillarsGazCHAUFF</v>
      </c>
      <c r="B1396" s="148">
        <v>5487</v>
      </c>
      <c r="C1396" s="148" t="s">
        <v>500</v>
      </c>
      <c r="D1396" s="148" t="s">
        <v>239</v>
      </c>
      <c r="E1396" s="148">
        <v>2213556.2229101704</v>
      </c>
      <c r="F1396" t="s">
        <v>249</v>
      </c>
      <c r="G1396"/>
    </row>
    <row r="1397" spans="1:7" ht="15.75">
      <c r="A1397" t="str">
        <f t="shared" si="21"/>
        <v>Lussery-VillarsMazoutCHAUFF</v>
      </c>
      <c r="B1397" s="148">
        <v>5487</v>
      </c>
      <c r="C1397" s="148" t="s">
        <v>500</v>
      </c>
      <c r="D1397" s="148" t="s">
        <v>70</v>
      </c>
      <c r="E1397" s="148">
        <v>1394807.0588235299</v>
      </c>
      <c r="F1397" t="s">
        <v>249</v>
      </c>
      <c r="G1397"/>
    </row>
    <row r="1398" spans="1:7" ht="15.75">
      <c r="A1398" t="str">
        <f t="shared" si="21"/>
        <v>Lussery-VillarsNon renseignéCHAUFF</v>
      </c>
      <c r="B1398" s="148">
        <v>5487</v>
      </c>
      <c r="C1398" s="148" t="s">
        <v>500</v>
      </c>
      <c r="D1398" s="148" t="s">
        <v>696</v>
      </c>
      <c r="E1398" s="148">
        <v>0</v>
      </c>
      <c r="F1398" t="s">
        <v>249</v>
      </c>
      <c r="G1398"/>
    </row>
    <row r="1399" spans="1:7" ht="15.75">
      <c r="A1399" t="str">
        <f t="shared" si="21"/>
        <v>Lussery-VillarsPACCHAUFF</v>
      </c>
      <c r="B1399" s="148">
        <v>5487</v>
      </c>
      <c r="C1399" s="148" t="s">
        <v>500</v>
      </c>
      <c r="D1399" s="148" t="s">
        <v>69</v>
      </c>
      <c r="E1399" s="148">
        <v>72283.227053130002</v>
      </c>
      <c r="F1399" t="s">
        <v>249</v>
      </c>
      <c r="G1399"/>
    </row>
    <row r="1400" spans="1:7" ht="15.75">
      <c r="A1400" t="str">
        <f t="shared" si="21"/>
        <v>Lussery-VillarsSolaireCHAUFF</v>
      </c>
      <c r="B1400" s="148">
        <v>5487</v>
      </c>
      <c r="C1400" s="148" t="s">
        <v>500</v>
      </c>
      <c r="D1400" s="148" t="s">
        <v>240</v>
      </c>
      <c r="E1400" s="148" t="e">
        <v>#N/A</v>
      </c>
      <c r="F1400" t="s">
        <v>249</v>
      </c>
      <c r="G1400"/>
    </row>
    <row r="1401" spans="1:7" ht="15.75">
      <c r="A1401" t="str">
        <f t="shared" si="21"/>
        <v>Lussy-sur-MorgesBoisCHAUFF</v>
      </c>
      <c r="B1401" s="148">
        <v>5640</v>
      </c>
      <c r="C1401" s="148" t="s">
        <v>633</v>
      </c>
      <c r="D1401" s="148" t="s">
        <v>66</v>
      </c>
      <c r="E1401" s="148">
        <v>280950.40000000002</v>
      </c>
      <c r="F1401" t="s">
        <v>249</v>
      </c>
      <c r="G1401"/>
    </row>
    <row r="1402" spans="1:7" ht="15.75">
      <c r="A1402" t="str">
        <f t="shared" si="21"/>
        <v>Lussy-sur-MorgesCADCHAUFF</v>
      </c>
      <c r="B1402" s="148">
        <v>5640</v>
      </c>
      <c r="C1402" s="148" t="s">
        <v>633</v>
      </c>
      <c r="D1402" s="148" t="s">
        <v>242</v>
      </c>
      <c r="E1402" s="148">
        <v>72696</v>
      </c>
      <c r="F1402" t="s">
        <v>249</v>
      </c>
      <c r="G1402"/>
    </row>
    <row r="1403" spans="1:7" ht="15.75">
      <c r="A1403" t="str">
        <f t="shared" si="21"/>
        <v>Lussy-sur-MorgesElectricitéCHAUFF</v>
      </c>
      <c r="B1403" s="148">
        <v>5640</v>
      </c>
      <c r="C1403" s="148" t="s">
        <v>633</v>
      </c>
      <c r="D1403" s="148" t="s">
        <v>97</v>
      </c>
      <c r="E1403" s="148">
        <v>1389310.7526881699</v>
      </c>
      <c r="F1403" t="s">
        <v>249</v>
      </c>
      <c r="G1403"/>
    </row>
    <row r="1404" spans="1:7" ht="15.75">
      <c r="A1404" t="str">
        <f t="shared" si="21"/>
        <v>Lussy-sur-MorgesGazCHAUFF</v>
      </c>
      <c r="B1404" s="148">
        <v>5640</v>
      </c>
      <c r="C1404" s="148" t="s">
        <v>633</v>
      </c>
      <c r="D1404" s="148" t="s">
        <v>239</v>
      </c>
      <c r="E1404" s="148">
        <v>3034681.8080496113</v>
      </c>
      <c r="F1404" t="s">
        <v>249</v>
      </c>
      <c r="G1404"/>
    </row>
    <row r="1405" spans="1:7" ht="15.75">
      <c r="A1405" t="str">
        <f t="shared" si="21"/>
        <v>Lussy-sur-MorgesMazoutCHAUFF</v>
      </c>
      <c r="B1405" s="148">
        <v>5640</v>
      </c>
      <c r="C1405" s="148" t="s">
        <v>633</v>
      </c>
      <c r="D1405" s="148" t="s">
        <v>70</v>
      </c>
      <c r="E1405" s="148">
        <v>2055104.4705882205</v>
      </c>
      <c r="F1405" t="s">
        <v>249</v>
      </c>
      <c r="G1405"/>
    </row>
    <row r="1406" spans="1:7" ht="15.75">
      <c r="A1406" t="str">
        <f t="shared" si="21"/>
        <v>Lussy-sur-MorgesNon renseignéCHAUFF</v>
      </c>
      <c r="B1406" s="148">
        <v>5640</v>
      </c>
      <c r="C1406" s="148" t="s">
        <v>633</v>
      </c>
      <c r="D1406" s="148" t="s">
        <v>696</v>
      </c>
      <c r="E1406" s="148" t="e">
        <v>#N/A</v>
      </c>
      <c r="F1406" t="s">
        <v>249</v>
      </c>
      <c r="G1406"/>
    </row>
    <row r="1407" spans="1:7" ht="15.75">
      <c r="A1407" t="str">
        <f t="shared" si="21"/>
        <v>Lussy-sur-MorgesPACCHAUFF</v>
      </c>
      <c r="B1407" s="148">
        <v>5640</v>
      </c>
      <c r="C1407" s="148" t="s">
        <v>633</v>
      </c>
      <c r="D1407" s="148" t="s">
        <v>69</v>
      </c>
      <c r="E1407" s="148">
        <v>77196.793309429995</v>
      </c>
      <c r="F1407" t="s">
        <v>249</v>
      </c>
      <c r="G1407"/>
    </row>
    <row r="1408" spans="1:7" ht="15.75">
      <c r="A1408" t="str">
        <f t="shared" si="21"/>
        <v>Lussy-sur-MorgesSolaireCHAUFF</v>
      </c>
      <c r="B1408" s="148">
        <v>5640</v>
      </c>
      <c r="C1408" s="148" t="s">
        <v>633</v>
      </c>
      <c r="D1408" s="148" t="s">
        <v>240</v>
      </c>
      <c r="E1408" s="148" t="e">
        <v>#N/A</v>
      </c>
      <c r="F1408" t="s">
        <v>249</v>
      </c>
      <c r="G1408"/>
    </row>
    <row r="1409" spans="1:7" ht="15.75">
      <c r="A1409" t="str">
        <f t="shared" si="21"/>
        <v>LutryBoisCHAUFF</v>
      </c>
      <c r="B1409" s="148">
        <v>5606</v>
      </c>
      <c r="C1409" s="148" t="s">
        <v>501</v>
      </c>
      <c r="D1409" s="148" t="s">
        <v>66</v>
      </c>
      <c r="E1409" s="148">
        <v>11304193.978431357</v>
      </c>
      <c r="F1409" t="s">
        <v>249</v>
      </c>
      <c r="G1409"/>
    </row>
    <row r="1410" spans="1:7" ht="15.75">
      <c r="A1410" t="str">
        <f t="shared" si="21"/>
        <v>LutryCADCHAUFF</v>
      </c>
      <c r="B1410" s="148">
        <v>5606</v>
      </c>
      <c r="C1410" s="148" t="s">
        <v>501</v>
      </c>
      <c r="D1410" s="148" t="s">
        <v>242</v>
      </c>
      <c r="E1410" s="148">
        <v>153481.60000000001</v>
      </c>
      <c r="F1410" t="s">
        <v>249</v>
      </c>
      <c r="G1410"/>
    </row>
    <row r="1411" spans="1:7" ht="15.75">
      <c r="A1411" t="str">
        <f t="shared" si="21"/>
        <v>LutryCharbonCHAUFF</v>
      </c>
      <c r="B1411" s="148">
        <v>5606</v>
      </c>
      <c r="C1411" s="148" t="s">
        <v>501</v>
      </c>
      <c r="D1411" s="148" t="s">
        <v>695</v>
      </c>
      <c r="E1411" s="148" t="e">
        <v>#N/A</v>
      </c>
      <c r="F1411" t="s">
        <v>249</v>
      </c>
      <c r="G1411"/>
    </row>
    <row r="1412" spans="1:7" ht="15.75">
      <c r="A1412" t="str">
        <f t="shared" si="21"/>
        <v>LutryElectricitéCHAUFF</v>
      </c>
      <c r="B1412" s="148">
        <v>5606</v>
      </c>
      <c r="C1412" s="148" t="s">
        <v>501</v>
      </c>
      <c r="D1412" s="148" t="s">
        <v>97</v>
      </c>
      <c r="E1412" s="148">
        <v>12091444.591397833</v>
      </c>
      <c r="F1412" t="s">
        <v>249</v>
      </c>
      <c r="G1412"/>
    </row>
    <row r="1413" spans="1:7" ht="15.75">
      <c r="A1413" t="str">
        <f t="shared" si="21"/>
        <v>LutryGazCHAUFF</v>
      </c>
      <c r="B1413" s="148">
        <v>5606</v>
      </c>
      <c r="C1413" s="148" t="s">
        <v>501</v>
      </c>
      <c r="D1413" s="148" t="s">
        <v>239</v>
      </c>
      <c r="E1413" s="148">
        <v>6550565.7027863208</v>
      </c>
      <c r="F1413" t="s">
        <v>249</v>
      </c>
      <c r="G1413"/>
    </row>
    <row r="1414" spans="1:7" ht="15.75">
      <c r="A1414" t="str">
        <f t="shared" si="21"/>
        <v>LutryMazoutCHAUFF</v>
      </c>
      <c r="B1414" s="148">
        <v>5606</v>
      </c>
      <c r="C1414" s="148" t="s">
        <v>501</v>
      </c>
      <c r="D1414" s="148" t="s">
        <v>70</v>
      </c>
      <c r="E1414" s="148">
        <v>76126003.909243599</v>
      </c>
      <c r="F1414" t="s">
        <v>249</v>
      </c>
      <c r="G1414"/>
    </row>
    <row r="1415" spans="1:7" ht="15.75">
      <c r="A1415" t="str">
        <f t="shared" si="21"/>
        <v>LutryNon renseignéCHAUFF</v>
      </c>
      <c r="B1415" s="148">
        <v>5606</v>
      </c>
      <c r="C1415" s="148" t="s">
        <v>501</v>
      </c>
      <c r="D1415" s="148" t="s">
        <v>696</v>
      </c>
      <c r="E1415" s="148">
        <v>0</v>
      </c>
      <c r="F1415" t="s">
        <v>249</v>
      </c>
      <c r="G1415"/>
    </row>
    <row r="1416" spans="1:7" ht="15.75">
      <c r="A1416" t="str">
        <f t="shared" si="21"/>
        <v>LutryPACCHAUFF</v>
      </c>
      <c r="B1416" s="148">
        <v>5606</v>
      </c>
      <c r="C1416" s="148" t="s">
        <v>501</v>
      </c>
      <c r="D1416" s="148" t="s">
        <v>69</v>
      </c>
      <c r="E1416" s="148">
        <v>3784667.8549705986</v>
      </c>
      <c r="F1416" t="s">
        <v>249</v>
      </c>
      <c r="G1416"/>
    </row>
    <row r="1417" spans="1:7" ht="15.75">
      <c r="A1417" t="str">
        <f t="shared" si="21"/>
        <v>LutrySolaireCHAUFF</v>
      </c>
      <c r="B1417" s="148">
        <v>5606</v>
      </c>
      <c r="C1417" s="148" t="s">
        <v>501</v>
      </c>
      <c r="D1417" s="148" t="s">
        <v>240</v>
      </c>
      <c r="E1417" s="148">
        <v>8192</v>
      </c>
      <c r="F1417" t="s">
        <v>249</v>
      </c>
      <c r="G1417"/>
    </row>
    <row r="1418" spans="1:7" ht="15.75">
      <c r="A1418" t="str">
        <f t="shared" si="21"/>
        <v>LutryAutre agent énergétiqueCHAUFF</v>
      </c>
      <c r="B1418" s="148">
        <v>5606</v>
      </c>
      <c r="C1418" s="148" t="s">
        <v>501</v>
      </c>
      <c r="D1418" s="148" t="s">
        <v>245</v>
      </c>
      <c r="E1418" s="148">
        <v>0</v>
      </c>
      <c r="F1418" t="s">
        <v>249</v>
      </c>
      <c r="G1418"/>
    </row>
    <row r="1419" spans="1:7" ht="15.75">
      <c r="A1419" t="str">
        <f t="shared" ref="A1419:A1482" si="22">_xlfn.CONCAT(C1419,D1419,F1419)</f>
        <v>MaraconBoisCHAUFF</v>
      </c>
      <c r="B1419" s="148">
        <v>5790</v>
      </c>
      <c r="C1419" s="148" t="s">
        <v>502</v>
      </c>
      <c r="D1419" s="148" t="s">
        <v>66</v>
      </c>
      <c r="E1419" s="148">
        <v>1283502.7764705899</v>
      </c>
      <c r="F1419" t="s">
        <v>249</v>
      </c>
      <c r="G1419"/>
    </row>
    <row r="1420" spans="1:7" ht="15.75">
      <c r="A1420" t="str">
        <f t="shared" si="22"/>
        <v>MaraconCADCHAUFF</v>
      </c>
      <c r="B1420" s="148">
        <v>5790</v>
      </c>
      <c r="C1420" s="148" t="s">
        <v>502</v>
      </c>
      <c r="D1420" s="148" t="s">
        <v>242</v>
      </c>
      <c r="E1420" s="148">
        <v>8857.6</v>
      </c>
      <c r="F1420" t="s">
        <v>249</v>
      </c>
      <c r="G1420"/>
    </row>
    <row r="1421" spans="1:7" ht="15.75">
      <c r="A1421" t="str">
        <f t="shared" si="22"/>
        <v>MaraconElectricitéCHAUFF</v>
      </c>
      <c r="B1421" s="148">
        <v>5790</v>
      </c>
      <c r="C1421" s="148" t="s">
        <v>502</v>
      </c>
      <c r="D1421" s="148" t="s">
        <v>97</v>
      </c>
      <c r="E1421" s="148">
        <v>598424.73118279001</v>
      </c>
      <c r="F1421" t="s">
        <v>249</v>
      </c>
      <c r="G1421"/>
    </row>
    <row r="1422" spans="1:7" ht="15.75">
      <c r="A1422" t="str">
        <f t="shared" si="22"/>
        <v>MaraconGazCHAUFF</v>
      </c>
      <c r="B1422" s="148">
        <v>5790</v>
      </c>
      <c r="C1422" s="148" t="s">
        <v>502</v>
      </c>
      <c r="D1422" s="148" t="s">
        <v>239</v>
      </c>
      <c r="E1422" s="148">
        <v>802564.22291022004</v>
      </c>
      <c r="F1422" t="s">
        <v>249</v>
      </c>
      <c r="G1422"/>
    </row>
    <row r="1423" spans="1:7" ht="15.75">
      <c r="A1423" t="str">
        <f t="shared" si="22"/>
        <v>MaraconMazoutCHAUFF</v>
      </c>
      <c r="B1423" s="148">
        <v>5790</v>
      </c>
      <c r="C1423" s="148" t="s">
        <v>502</v>
      </c>
      <c r="D1423" s="148" t="s">
        <v>70</v>
      </c>
      <c r="E1423" s="148">
        <v>3741988.2264389596</v>
      </c>
      <c r="F1423" t="s">
        <v>249</v>
      </c>
      <c r="G1423"/>
    </row>
    <row r="1424" spans="1:7" ht="15.75">
      <c r="A1424" t="str">
        <f t="shared" si="22"/>
        <v>MaraconNon renseignéCHAUFF</v>
      </c>
      <c r="B1424" s="148">
        <v>5790</v>
      </c>
      <c r="C1424" s="148" t="s">
        <v>502</v>
      </c>
      <c r="D1424" s="148" t="s">
        <v>696</v>
      </c>
      <c r="E1424" s="148">
        <v>0</v>
      </c>
      <c r="F1424" t="s">
        <v>249</v>
      </c>
      <c r="G1424"/>
    </row>
    <row r="1425" spans="1:7" ht="15.75">
      <c r="A1425" t="str">
        <f t="shared" si="22"/>
        <v>MaraconPACCHAUFF</v>
      </c>
      <c r="B1425" s="148">
        <v>5790</v>
      </c>
      <c r="C1425" s="148" t="s">
        <v>502</v>
      </c>
      <c r="D1425" s="148" t="s">
        <v>69</v>
      </c>
      <c r="E1425" s="148">
        <v>224514.95798005999</v>
      </c>
      <c r="F1425" t="s">
        <v>249</v>
      </c>
      <c r="G1425"/>
    </row>
    <row r="1426" spans="1:7" ht="15.75">
      <c r="A1426" t="str">
        <f t="shared" si="22"/>
        <v>MaraconSolaireCHAUFF</v>
      </c>
      <c r="B1426" s="148">
        <v>5790</v>
      </c>
      <c r="C1426" s="148" t="s">
        <v>502</v>
      </c>
      <c r="D1426" s="148" t="s">
        <v>240</v>
      </c>
      <c r="E1426" s="148" t="e">
        <v>#N/A</v>
      </c>
      <c r="F1426" t="s">
        <v>249</v>
      </c>
      <c r="G1426"/>
    </row>
    <row r="1427" spans="1:7" ht="15.75">
      <c r="A1427" t="str">
        <f t="shared" si="22"/>
        <v>MarchissyBoisCHAUFF</v>
      </c>
      <c r="B1427" s="148">
        <v>5430</v>
      </c>
      <c r="C1427" s="148" t="s">
        <v>503</v>
      </c>
      <c r="D1427" s="148" t="s">
        <v>66</v>
      </c>
      <c r="E1427" s="148">
        <v>941487.49490195012</v>
      </c>
      <c r="F1427" t="s">
        <v>249</v>
      </c>
      <c r="G1427"/>
    </row>
    <row r="1428" spans="1:7" ht="15.75">
      <c r="A1428" t="str">
        <f t="shared" si="22"/>
        <v>MarchissyCADCHAUFF</v>
      </c>
      <c r="B1428" s="148">
        <v>5430</v>
      </c>
      <c r="C1428" s="148" t="s">
        <v>503</v>
      </c>
      <c r="D1428" s="148" t="s">
        <v>242</v>
      </c>
      <c r="E1428" s="148">
        <v>110760</v>
      </c>
      <c r="F1428" t="s">
        <v>249</v>
      </c>
      <c r="G1428"/>
    </row>
    <row r="1429" spans="1:7" ht="15.75">
      <c r="A1429" t="str">
        <f t="shared" si="22"/>
        <v>MarchissyElectricitéCHAUFF</v>
      </c>
      <c r="B1429" s="148">
        <v>5430</v>
      </c>
      <c r="C1429" s="148" t="s">
        <v>503</v>
      </c>
      <c r="D1429" s="148" t="s">
        <v>97</v>
      </c>
      <c r="E1429" s="148">
        <v>856251.61290323001</v>
      </c>
      <c r="F1429" t="s">
        <v>249</v>
      </c>
      <c r="G1429"/>
    </row>
    <row r="1430" spans="1:7" ht="15.75">
      <c r="A1430" t="str">
        <f t="shared" si="22"/>
        <v>MarchissyGazCHAUFF</v>
      </c>
      <c r="B1430" s="148">
        <v>5430</v>
      </c>
      <c r="C1430" s="148" t="s">
        <v>503</v>
      </c>
      <c r="D1430" s="148" t="s">
        <v>239</v>
      </c>
      <c r="E1430" s="148">
        <v>136589.78328173998</v>
      </c>
      <c r="F1430" t="s">
        <v>249</v>
      </c>
      <c r="G1430"/>
    </row>
    <row r="1431" spans="1:7" ht="15.75">
      <c r="A1431" t="str">
        <f t="shared" si="22"/>
        <v>MarchissyMazoutCHAUFF</v>
      </c>
      <c r="B1431" s="148">
        <v>5430</v>
      </c>
      <c r="C1431" s="148" t="s">
        <v>503</v>
      </c>
      <c r="D1431" s="148" t="s">
        <v>70</v>
      </c>
      <c r="E1431" s="148">
        <v>3751456.141176471</v>
      </c>
      <c r="F1431" t="s">
        <v>249</v>
      </c>
      <c r="G1431"/>
    </row>
    <row r="1432" spans="1:7" ht="15.75">
      <c r="A1432" t="str">
        <f t="shared" si="22"/>
        <v>MarchissyNon renseignéCHAUFF</v>
      </c>
      <c r="B1432" s="148">
        <v>5430</v>
      </c>
      <c r="C1432" s="148" t="s">
        <v>503</v>
      </c>
      <c r="D1432" s="148" t="s">
        <v>696</v>
      </c>
      <c r="E1432" s="148">
        <v>0</v>
      </c>
      <c r="F1432" t="s">
        <v>249</v>
      </c>
      <c r="G1432"/>
    </row>
    <row r="1433" spans="1:7" ht="15.75">
      <c r="A1433" t="str">
        <f t="shared" si="22"/>
        <v>MarchissyPACCHAUFF</v>
      </c>
      <c r="B1433" s="148">
        <v>5430</v>
      </c>
      <c r="C1433" s="148" t="s">
        <v>503</v>
      </c>
      <c r="D1433" s="148" t="s">
        <v>69</v>
      </c>
      <c r="E1433" s="148">
        <v>124847.64417432999</v>
      </c>
      <c r="F1433" t="s">
        <v>249</v>
      </c>
      <c r="G1433"/>
    </row>
    <row r="1434" spans="1:7" ht="15.75">
      <c r="A1434" t="str">
        <f t="shared" si="22"/>
        <v>MarchissySolaireCHAUFF</v>
      </c>
      <c r="B1434" s="148">
        <v>5430</v>
      </c>
      <c r="C1434" s="148" t="s">
        <v>503</v>
      </c>
      <c r="D1434" s="148" t="s">
        <v>240</v>
      </c>
      <c r="E1434" s="148" t="e">
        <v>#N/A</v>
      </c>
      <c r="F1434" t="s">
        <v>249</v>
      </c>
      <c r="G1434"/>
    </row>
    <row r="1435" spans="1:7" ht="15.75">
      <c r="A1435" t="str">
        <f t="shared" si="22"/>
        <v>MathodBoisCHAUFF</v>
      </c>
      <c r="B1435" s="148">
        <v>5919</v>
      </c>
      <c r="C1435" s="148" t="s">
        <v>504</v>
      </c>
      <c r="D1435" s="148" t="s">
        <v>66</v>
      </c>
      <c r="E1435" s="148">
        <v>418176.00000001001</v>
      </c>
      <c r="F1435" t="s">
        <v>249</v>
      </c>
      <c r="G1435"/>
    </row>
    <row r="1436" spans="1:7" ht="15.75">
      <c r="A1436" t="str">
        <f t="shared" si="22"/>
        <v>MathodElectricitéCHAUFF</v>
      </c>
      <c r="B1436" s="148">
        <v>5919</v>
      </c>
      <c r="C1436" s="148" t="s">
        <v>504</v>
      </c>
      <c r="D1436" s="148" t="s">
        <v>97</v>
      </c>
      <c r="E1436" s="148">
        <v>1183666.2795698901</v>
      </c>
      <c r="F1436" t="s">
        <v>249</v>
      </c>
      <c r="G1436"/>
    </row>
    <row r="1437" spans="1:7" ht="15.75">
      <c r="A1437" t="str">
        <f t="shared" si="22"/>
        <v>MathodGazCHAUFF</v>
      </c>
      <c r="B1437" s="148">
        <v>5919</v>
      </c>
      <c r="C1437" s="148" t="s">
        <v>504</v>
      </c>
      <c r="D1437" s="148" t="s">
        <v>239</v>
      </c>
      <c r="E1437" s="148">
        <v>4892130.9051566301</v>
      </c>
      <c r="F1437" t="s">
        <v>249</v>
      </c>
      <c r="G1437"/>
    </row>
    <row r="1438" spans="1:7" ht="15.75">
      <c r="A1438" t="str">
        <f t="shared" si="22"/>
        <v>MathodMazoutCHAUFF</v>
      </c>
      <c r="B1438" s="148">
        <v>5919</v>
      </c>
      <c r="C1438" s="148" t="s">
        <v>504</v>
      </c>
      <c r="D1438" s="148" t="s">
        <v>70</v>
      </c>
      <c r="E1438" s="148">
        <v>3234210.8235294106</v>
      </c>
      <c r="F1438" t="s">
        <v>249</v>
      </c>
      <c r="G1438"/>
    </row>
    <row r="1439" spans="1:7" ht="15.75">
      <c r="A1439" t="str">
        <f t="shared" si="22"/>
        <v>MathodNon renseignéCHAUFF</v>
      </c>
      <c r="B1439" s="148">
        <v>5919</v>
      </c>
      <c r="C1439" s="148" t="s">
        <v>504</v>
      </c>
      <c r="D1439" s="148" t="s">
        <v>696</v>
      </c>
      <c r="E1439" s="148">
        <v>0</v>
      </c>
      <c r="F1439" t="s">
        <v>249</v>
      </c>
      <c r="G1439"/>
    </row>
    <row r="1440" spans="1:7" ht="15.75">
      <c r="A1440" t="str">
        <f t="shared" si="22"/>
        <v>MathodPACCHAUFF</v>
      </c>
      <c r="B1440" s="148">
        <v>5919</v>
      </c>
      <c r="C1440" s="148" t="s">
        <v>504</v>
      </c>
      <c r="D1440" s="148" t="s">
        <v>69</v>
      </c>
      <c r="E1440" s="148">
        <v>95141.629629629999</v>
      </c>
      <c r="F1440" t="s">
        <v>249</v>
      </c>
      <c r="G1440"/>
    </row>
    <row r="1441" spans="1:7" ht="15.75">
      <c r="A1441" t="str">
        <f t="shared" si="22"/>
        <v>MathodSolaireCHAUFF</v>
      </c>
      <c r="B1441" s="148">
        <v>5919</v>
      </c>
      <c r="C1441" s="148" t="s">
        <v>504</v>
      </c>
      <c r="D1441" s="148" t="s">
        <v>240</v>
      </c>
      <c r="E1441" s="148">
        <v>485177.60000000003</v>
      </c>
      <c r="F1441" t="s">
        <v>249</v>
      </c>
      <c r="G1441"/>
    </row>
    <row r="1442" spans="1:7" ht="15.75">
      <c r="A1442" t="str">
        <f t="shared" si="22"/>
        <v>MauborgetBoisCHAUFF</v>
      </c>
      <c r="B1442" s="148">
        <v>5562</v>
      </c>
      <c r="C1442" s="148" t="s">
        <v>505</v>
      </c>
      <c r="D1442" s="148" t="s">
        <v>66</v>
      </c>
      <c r="E1442" s="148">
        <v>1095294.4000000202</v>
      </c>
      <c r="F1442" t="s">
        <v>249</v>
      </c>
      <c r="G1442"/>
    </row>
    <row r="1443" spans="1:7" ht="15.75">
      <c r="A1443" t="str">
        <f t="shared" si="22"/>
        <v>MauborgetElectricitéCHAUFF</v>
      </c>
      <c r="B1443" s="148">
        <v>5562</v>
      </c>
      <c r="C1443" s="148" t="s">
        <v>505</v>
      </c>
      <c r="D1443" s="148" t="s">
        <v>97</v>
      </c>
      <c r="E1443" s="148">
        <v>519540.86021507008</v>
      </c>
      <c r="F1443" t="s">
        <v>249</v>
      </c>
      <c r="G1443"/>
    </row>
    <row r="1444" spans="1:7" ht="15.75">
      <c r="A1444" t="str">
        <f t="shared" si="22"/>
        <v>MauborgetGazCHAUFF</v>
      </c>
      <c r="B1444" s="148">
        <v>5562</v>
      </c>
      <c r="C1444" s="148" t="s">
        <v>505</v>
      </c>
      <c r="D1444" s="148" t="s">
        <v>239</v>
      </c>
      <c r="E1444" s="148">
        <v>339422.11764706002</v>
      </c>
      <c r="F1444" t="s">
        <v>249</v>
      </c>
      <c r="G1444"/>
    </row>
    <row r="1445" spans="1:7" ht="15.75">
      <c r="A1445" t="str">
        <f t="shared" si="22"/>
        <v>MauborgetMazoutCHAUFF</v>
      </c>
      <c r="B1445" s="148">
        <v>5562</v>
      </c>
      <c r="C1445" s="148" t="s">
        <v>505</v>
      </c>
      <c r="D1445" s="148" t="s">
        <v>70</v>
      </c>
      <c r="E1445" s="148">
        <v>933565.41176474979</v>
      </c>
      <c r="F1445" t="s">
        <v>249</v>
      </c>
      <c r="G1445"/>
    </row>
    <row r="1446" spans="1:7" ht="15.75">
      <c r="A1446" t="str">
        <f t="shared" si="22"/>
        <v>MauborgetNon renseignéCHAUFF</v>
      </c>
      <c r="B1446" s="148">
        <v>5562</v>
      </c>
      <c r="C1446" s="148" t="s">
        <v>505</v>
      </c>
      <c r="D1446" s="148" t="s">
        <v>696</v>
      </c>
      <c r="E1446" s="148">
        <v>0</v>
      </c>
      <c r="F1446" t="s">
        <v>249</v>
      </c>
      <c r="G1446"/>
    </row>
    <row r="1447" spans="1:7" ht="15.75">
      <c r="A1447" t="str">
        <f t="shared" si="22"/>
        <v>MauborgetPACCHAUFF</v>
      </c>
      <c r="B1447" s="148">
        <v>5562</v>
      </c>
      <c r="C1447" s="148" t="s">
        <v>505</v>
      </c>
      <c r="D1447" s="148" t="s">
        <v>69</v>
      </c>
      <c r="E1447" s="148">
        <v>18008.740740739999</v>
      </c>
      <c r="F1447" t="s">
        <v>249</v>
      </c>
      <c r="G1447"/>
    </row>
    <row r="1448" spans="1:7" ht="15.75">
      <c r="A1448" t="str">
        <f t="shared" si="22"/>
        <v>MauborgetSolaireCHAUFF</v>
      </c>
      <c r="B1448" s="148">
        <v>5562</v>
      </c>
      <c r="C1448" s="148" t="s">
        <v>505</v>
      </c>
      <c r="D1448" s="148" t="s">
        <v>240</v>
      </c>
      <c r="E1448" s="148">
        <v>7392</v>
      </c>
      <c r="F1448" t="s">
        <v>249</v>
      </c>
      <c r="G1448"/>
    </row>
    <row r="1449" spans="1:7" ht="15.75">
      <c r="A1449" t="str">
        <f t="shared" si="22"/>
        <v>MaurazBoisCHAUFF</v>
      </c>
      <c r="B1449" s="148">
        <v>5488</v>
      </c>
      <c r="C1449" s="148" t="s">
        <v>506</v>
      </c>
      <c r="D1449" s="148" t="s">
        <v>66</v>
      </c>
      <c r="E1449" s="148">
        <v>8900.5333333400013</v>
      </c>
      <c r="F1449" t="s">
        <v>249</v>
      </c>
      <c r="G1449"/>
    </row>
    <row r="1450" spans="1:7" ht="15.75">
      <c r="A1450" t="str">
        <f t="shared" si="22"/>
        <v>MaurazElectricitéCHAUFF</v>
      </c>
      <c r="B1450" s="148">
        <v>5488</v>
      </c>
      <c r="C1450" s="148" t="s">
        <v>506</v>
      </c>
      <c r="D1450" s="148" t="s">
        <v>97</v>
      </c>
      <c r="E1450" s="148">
        <v>9140.64516129</v>
      </c>
      <c r="F1450" t="s">
        <v>249</v>
      </c>
      <c r="G1450"/>
    </row>
    <row r="1451" spans="1:7" ht="15.75">
      <c r="A1451" t="str">
        <f t="shared" si="22"/>
        <v>MaurazGazCHAUFF</v>
      </c>
      <c r="B1451" s="148">
        <v>5488</v>
      </c>
      <c r="C1451" s="148" t="s">
        <v>506</v>
      </c>
      <c r="D1451" s="148" t="s">
        <v>239</v>
      </c>
      <c r="E1451" s="148">
        <v>420835.29411763995</v>
      </c>
      <c r="F1451" t="s">
        <v>249</v>
      </c>
      <c r="G1451"/>
    </row>
    <row r="1452" spans="1:7" ht="15.75">
      <c r="A1452" t="str">
        <f t="shared" si="22"/>
        <v>MaurazMazoutCHAUFF</v>
      </c>
      <c r="B1452" s="148">
        <v>5488</v>
      </c>
      <c r="C1452" s="148" t="s">
        <v>506</v>
      </c>
      <c r="D1452" s="148" t="s">
        <v>70</v>
      </c>
      <c r="E1452" s="148">
        <v>512338.35294116999</v>
      </c>
      <c r="F1452" t="s">
        <v>249</v>
      </c>
      <c r="G1452"/>
    </row>
    <row r="1453" spans="1:7" ht="15.75">
      <c r="A1453" t="str">
        <f t="shared" si="22"/>
        <v>MaurazNon renseignéCHAUFF</v>
      </c>
      <c r="B1453" s="148">
        <v>5488</v>
      </c>
      <c r="C1453" s="148" t="s">
        <v>506</v>
      </c>
      <c r="D1453" s="148" t="s">
        <v>696</v>
      </c>
      <c r="E1453" s="148">
        <v>0</v>
      </c>
      <c r="F1453" t="s">
        <v>249</v>
      </c>
      <c r="G1453"/>
    </row>
    <row r="1454" spans="1:7" ht="15.75">
      <c r="A1454" t="str">
        <f t="shared" si="22"/>
        <v>MaurazSolaireCHAUFF</v>
      </c>
      <c r="B1454" s="148">
        <v>5488</v>
      </c>
      <c r="C1454" s="148" t="s">
        <v>506</v>
      </c>
      <c r="D1454" s="148" t="s">
        <v>240</v>
      </c>
      <c r="E1454" s="148" t="e">
        <v>#N/A</v>
      </c>
      <c r="F1454" t="s">
        <v>249</v>
      </c>
      <c r="G1454"/>
    </row>
    <row r="1455" spans="1:7" ht="15.75">
      <c r="A1455" t="str">
        <f t="shared" si="22"/>
        <v>Mex (VD)BoisCHAUFF</v>
      </c>
      <c r="B1455" s="148">
        <v>5489</v>
      </c>
      <c r="C1455" s="148" t="s">
        <v>632</v>
      </c>
      <c r="D1455" s="148" t="s">
        <v>66</v>
      </c>
      <c r="E1455" s="148">
        <v>490956.80000001</v>
      </c>
      <c r="F1455" t="s">
        <v>249</v>
      </c>
      <c r="G1455"/>
    </row>
    <row r="1456" spans="1:7" ht="15.75">
      <c r="A1456" t="str">
        <f t="shared" si="22"/>
        <v>Mex (VD)CADCHAUFF</v>
      </c>
      <c r="B1456" s="148">
        <v>5489</v>
      </c>
      <c r="C1456" s="148" t="s">
        <v>632</v>
      </c>
      <c r="D1456" s="148" t="s">
        <v>242</v>
      </c>
      <c r="E1456" s="148">
        <v>3561144.3343653302</v>
      </c>
      <c r="F1456" t="s">
        <v>249</v>
      </c>
      <c r="G1456"/>
    </row>
    <row r="1457" spans="1:7" ht="15.75">
      <c r="A1457" t="str">
        <f t="shared" si="22"/>
        <v>Mex (VD)CharbonCHAUFF</v>
      </c>
      <c r="B1457" s="148">
        <v>5489</v>
      </c>
      <c r="C1457" s="148" t="s">
        <v>632</v>
      </c>
      <c r="D1457" s="148" t="s">
        <v>695</v>
      </c>
      <c r="E1457" s="148" t="e">
        <v>#N/A</v>
      </c>
      <c r="F1457" t="s">
        <v>249</v>
      </c>
      <c r="G1457"/>
    </row>
    <row r="1458" spans="1:7" ht="15.75">
      <c r="A1458" t="str">
        <f t="shared" si="22"/>
        <v>Mex (VD)ElectricitéCHAUFF</v>
      </c>
      <c r="B1458" s="148">
        <v>5489</v>
      </c>
      <c r="C1458" s="148" t="s">
        <v>632</v>
      </c>
      <c r="D1458" s="148" t="s">
        <v>97</v>
      </c>
      <c r="E1458" s="148">
        <v>955424.08602149982</v>
      </c>
      <c r="F1458" t="s">
        <v>249</v>
      </c>
      <c r="G1458"/>
    </row>
    <row r="1459" spans="1:7" ht="15.75">
      <c r="A1459" t="str">
        <f t="shared" si="22"/>
        <v>Mex (VD)GazCHAUFF</v>
      </c>
      <c r="B1459" s="148">
        <v>5489</v>
      </c>
      <c r="C1459" s="148" t="s">
        <v>632</v>
      </c>
      <c r="D1459" s="148" t="s">
        <v>239</v>
      </c>
      <c r="E1459" s="148">
        <v>3392667.6538699595</v>
      </c>
      <c r="F1459" t="s">
        <v>249</v>
      </c>
      <c r="G1459"/>
    </row>
    <row r="1460" spans="1:7" ht="15.75">
      <c r="A1460" t="str">
        <f t="shared" si="22"/>
        <v>Mex (VD)MazoutCHAUFF</v>
      </c>
      <c r="B1460" s="148">
        <v>5489</v>
      </c>
      <c r="C1460" s="148" t="s">
        <v>632</v>
      </c>
      <c r="D1460" s="148" t="s">
        <v>70</v>
      </c>
      <c r="E1460" s="148">
        <v>2738373.1764705605</v>
      </c>
      <c r="F1460" t="s">
        <v>249</v>
      </c>
      <c r="G1460"/>
    </row>
    <row r="1461" spans="1:7" ht="15.75">
      <c r="A1461" t="str">
        <f t="shared" si="22"/>
        <v>Mex (VD)Non renseignéCHAUFF</v>
      </c>
      <c r="B1461" s="148">
        <v>5489</v>
      </c>
      <c r="C1461" s="148" t="s">
        <v>632</v>
      </c>
      <c r="D1461" s="148" t="s">
        <v>696</v>
      </c>
      <c r="E1461" s="148" t="e">
        <v>#N/A</v>
      </c>
      <c r="F1461" t="s">
        <v>249</v>
      </c>
      <c r="G1461"/>
    </row>
    <row r="1462" spans="1:7" ht="15.75">
      <c r="A1462" t="str">
        <f t="shared" si="22"/>
        <v>Mex (VD)PACCHAUFF</v>
      </c>
      <c r="B1462" s="148">
        <v>5489</v>
      </c>
      <c r="C1462" s="148" t="s">
        <v>632</v>
      </c>
      <c r="D1462" s="148" t="s">
        <v>69</v>
      </c>
      <c r="E1462" s="148">
        <v>241836.09661834995</v>
      </c>
      <c r="F1462" t="s">
        <v>249</v>
      </c>
      <c r="G1462"/>
    </row>
    <row r="1463" spans="1:7" ht="15.75">
      <c r="A1463" t="str">
        <f t="shared" si="22"/>
        <v>Mex (VD)SolaireCHAUFF</v>
      </c>
      <c r="B1463" s="148">
        <v>5489</v>
      </c>
      <c r="C1463" s="148" t="s">
        <v>632</v>
      </c>
      <c r="D1463" s="148" t="s">
        <v>240</v>
      </c>
      <c r="E1463" s="148" t="e">
        <v>#N/A</v>
      </c>
      <c r="F1463" t="s">
        <v>249</v>
      </c>
      <c r="G1463"/>
    </row>
    <row r="1464" spans="1:7" ht="15.75">
      <c r="A1464" t="str">
        <f t="shared" si="22"/>
        <v>MiesAutre agent énergétiqueCHAUFF</v>
      </c>
      <c r="B1464" s="148">
        <v>5723</v>
      </c>
      <c r="C1464" s="148" t="s">
        <v>507</v>
      </c>
      <c r="D1464" s="148" t="s">
        <v>245</v>
      </c>
      <c r="E1464" s="148">
        <v>22080</v>
      </c>
      <c r="F1464" t="s">
        <v>249</v>
      </c>
      <c r="G1464"/>
    </row>
    <row r="1465" spans="1:7" ht="15.75">
      <c r="A1465" t="str">
        <f t="shared" si="22"/>
        <v>MiesBoisCHAUFF</v>
      </c>
      <c r="B1465" s="148">
        <v>5723</v>
      </c>
      <c r="C1465" s="148" t="s">
        <v>507</v>
      </c>
      <c r="D1465" s="148" t="s">
        <v>66</v>
      </c>
      <c r="E1465" s="148">
        <v>395247.18431371992</v>
      </c>
      <c r="F1465" t="s">
        <v>249</v>
      </c>
      <c r="G1465"/>
    </row>
    <row r="1466" spans="1:7" ht="15.75">
      <c r="A1466" t="str">
        <f t="shared" si="22"/>
        <v>MiesCADCHAUFF</v>
      </c>
      <c r="B1466" s="148">
        <v>5723</v>
      </c>
      <c r="C1466" s="148" t="s">
        <v>507</v>
      </c>
      <c r="D1466" s="148" t="s">
        <v>242</v>
      </c>
      <c r="E1466" s="148">
        <v>207668.4</v>
      </c>
      <c r="F1466" t="s">
        <v>249</v>
      </c>
      <c r="G1466"/>
    </row>
    <row r="1467" spans="1:7" ht="15.75">
      <c r="A1467" t="str">
        <f t="shared" si="22"/>
        <v>MiesElectricitéCHAUFF</v>
      </c>
      <c r="B1467" s="148">
        <v>5723</v>
      </c>
      <c r="C1467" s="148" t="s">
        <v>507</v>
      </c>
      <c r="D1467" s="148" t="s">
        <v>97</v>
      </c>
      <c r="E1467" s="148">
        <v>2970577.4193548304</v>
      </c>
      <c r="F1467" t="s">
        <v>249</v>
      </c>
      <c r="G1467"/>
    </row>
    <row r="1468" spans="1:7" ht="15.75">
      <c r="A1468" t="str">
        <f t="shared" si="22"/>
        <v>MiesGazCHAUFF</v>
      </c>
      <c r="B1468" s="148">
        <v>5723</v>
      </c>
      <c r="C1468" s="148" t="s">
        <v>507</v>
      </c>
      <c r="D1468" s="148" t="s">
        <v>239</v>
      </c>
      <c r="E1468" s="148">
        <v>1187944.6408668698</v>
      </c>
      <c r="F1468" t="s">
        <v>249</v>
      </c>
      <c r="G1468"/>
    </row>
    <row r="1469" spans="1:7" ht="15.75">
      <c r="A1469" t="str">
        <f t="shared" si="22"/>
        <v>MiesMazoutCHAUFF</v>
      </c>
      <c r="B1469" s="148">
        <v>5723</v>
      </c>
      <c r="C1469" s="148" t="s">
        <v>507</v>
      </c>
      <c r="D1469" s="148" t="s">
        <v>70</v>
      </c>
      <c r="E1469" s="148">
        <v>14203606.479637997</v>
      </c>
      <c r="F1469" t="s">
        <v>249</v>
      </c>
      <c r="G1469"/>
    </row>
    <row r="1470" spans="1:7" ht="15.75">
      <c r="A1470" t="str">
        <f t="shared" si="22"/>
        <v>MiesNon renseignéCHAUFF</v>
      </c>
      <c r="B1470" s="148">
        <v>5723</v>
      </c>
      <c r="C1470" s="148" t="s">
        <v>507</v>
      </c>
      <c r="D1470" s="148" t="s">
        <v>696</v>
      </c>
      <c r="E1470" s="148">
        <v>0</v>
      </c>
      <c r="F1470" t="s">
        <v>249</v>
      </c>
      <c r="G1470"/>
    </row>
    <row r="1471" spans="1:7" ht="15.75">
      <c r="A1471" t="str">
        <f t="shared" si="22"/>
        <v>MiesPACCHAUFF</v>
      </c>
      <c r="B1471" s="148">
        <v>5723</v>
      </c>
      <c r="C1471" s="148" t="s">
        <v>507</v>
      </c>
      <c r="D1471" s="148" t="s">
        <v>69</v>
      </c>
      <c r="E1471" s="148">
        <v>1141536.2342309398</v>
      </c>
      <c r="F1471" t="s">
        <v>249</v>
      </c>
      <c r="G1471"/>
    </row>
    <row r="1472" spans="1:7" ht="15.75">
      <c r="A1472" t="str">
        <f t="shared" si="22"/>
        <v>MiesSolaireCHAUFF</v>
      </c>
      <c r="B1472" s="148">
        <v>5723</v>
      </c>
      <c r="C1472" s="148" t="s">
        <v>507</v>
      </c>
      <c r="D1472" s="148" t="s">
        <v>240</v>
      </c>
      <c r="E1472" s="148" t="e">
        <v>#N/A</v>
      </c>
      <c r="F1472" t="s">
        <v>249</v>
      </c>
      <c r="G1472"/>
    </row>
    <row r="1473" spans="1:7" ht="15.75">
      <c r="A1473" t="str">
        <f t="shared" si="22"/>
        <v>MissyBoisCHAUFF</v>
      </c>
      <c r="B1473" s="148">
        <v>5821</v>
      </c>
      <c r="C1473" s="148" t="s">
        <v>508</v>
      </c>
      <c r="D1473" s="148" t="s">
        <v>66</v>
      </c>
      <c r="E1473" s="148">
        <v>971024.05333333998</v>
      </c>
      <c r="F1473" t="s">
        <v>249</v>
      </c>
      <c r="G1473"/>
    </row>
    <row r="1474" spans="1:7" ht="15.75">
      <c r="A1474" t="str">
        <f t="shared" si="22"/>
        <v>MissyCADCHAUFF</v>
      </c>
      <c r="B1474" s="148">
        <v>5821</v>
      </c>
      <c r="C1474" s="148" t="s">
        <v>508</v>
      </c>
      <c r="D1474" s="148" t="s">
        <v>242</v>
      </c>
      <c r="E1474" s="148">
        <v>101511.84</v>
      </c>
      <c r="F1474" t="s">
        <v>249</v>
      </c>
      <c r="G1474"/>
    </row>
    <row r="1475" spans="1:7" ht="15.75">
      <c r="A1475" t="str">
        <f t="shared" si="22"/>
        <v>MissyElectricitéCHAUFF</v>
      </c>
      <c r="B1475" s="148">
        <v>5821</v>
      </c>
      <c r="C1475" s="148" t="s">
        <v>508</v>
      </c>
      <c r="D1475" s="148" t="s">
        <v>97</v>
      </c>
      <c r="E1475" s="148">
        <v>155101.07526880997</v>
      </c>
      <c r="F1475" t="s">
        <v>249</v>
      </c>
      <c r="G1475"/>
    </row>
    <row r="1476" spans="1:7" ht="15.75">
      <c r="A1476" t="str">
        <f t="shared" si="22"/>
        <v>MissyGazCHAUFF</v>
      </c>
      <c r="B1476" s="148">
        <v>5821</v>
      </c>
      <c r="C1476" s="148" t="s">
        <v>508</v>
      </c>
      <c r="D1476" s="148" t="s">
        <v>239</v>
      </c>
      <c r="E1476" s="148">
        <v>27162.352941179997</v>
      </c>
      <c r="F1476" t="s">
        <v>249</v>
      </c>
      <c r="G1476"/>
    </row>
    <row r="1477" spans="1:7" ht="15.75">
      <c r="A1477" t="str">
        <f t="shared" si="22"/>
        <v>MissyMazoutCHAUFF</v>
      </c>
      <c r="B1477" s="148">
        <v>5821</v>
      </c>
      <c r="C1477" s="148" t="s">
        <v>508</v>
      </c>
      <c r="D1477" s="148" t="s">
        <v>70</v>
      </c>
      <c r="E1477" s="148">
        <v>3526056.8470587898</v>
      </c>
      <c r="F1477" t="s">
        <v>249</v>
      </c>
      <c r="G1477"/>
    </row>
    <row r="1478" spans="1:7" ht="15.75">
      <c r="A1478" t="str">
        <f t="shared" si="22"/>
        <v>MissyNon renseignéCHAUFF</v>
      </c>
      <c r="B1478" s="148">
        <v>5821</v>
      </c>
      <c r="C1478" s="148" t="s">
        <v>508</v>
      </c>
      <c r="D1478" s="148" t="s">
        <v>696</v>
      </c>
      <c r="E1478" s="148">
        <v>0</v>
      </c>
      <c r="F1478" t="s">
        <v>249</v>
      </c>
      <c r="G1478"/>
    </row>
    <row r="1479" spans="1:7" ht="15.75">
      <c r="A1479" t="str">
        <f t="shared" si="22"/>
        <v>MissyPACCHAUFF</v>
      </c>
      <c r="B1479" s="148">
        <v>5821</v>
      </c>
      <c r="C1479" s="148" t="s">
        <v>508</v>
      </c>
      <c r="D1479" s="148" t="s">
        <v>69</v>
      </c>
      <c r="E1479" s="148">
        <v>354737.93397741008</v>
      </c>
      <c r="F1479" t="s">
        <v>249</v>
      </c>
      <c r="G1479"/>
    </row>
    <row r="1480" spans="1:7" ht="15.75">
      <c r="A1480" t="str">
        <f t="shared" si="22"/>
        <v>MissySolaireCHAUFF</v>
      </c>
      <c r="B1480" s="148">
        <v>5821</v>
      </c>
      <c r="C1480" s="148" t="s">
        <v>508</v>
      </c>
      <c r="D1480" s="148" t="s">
        <v>240</v>
      </c>
      <c r="E1480" s="148">
        <v>4928</v>
      </c>
      <c r="F1480" t="s">
        <v>249</v>
      </c>
      <c r="G1480"/>
    </row>
    <row r="1481" spans="1:7" ht="15.75">
      <c r="A1481" t="str">
        <f t="shared" si="22"/>
        <v>MissyCharbonCHAUFF</v>
      </c>
      <c r="B1481" s="148">
        <v>5821</v>
      </c>
      <c r="C1481" s="148" t="s">
        <v>508</v>
      </c>
      <c r="D1481" s="148" t="s">
        <v>695</v>
      </c>
      <c r="E1481" s="148" t="e">
        <v>#N/A</v>
      </c>
      <c r="F1481" t="s">
        <v>249</v>
      </c>
      <c r="G1481"/>
    </row>
    <row r="1482" spans="1:7" ht="15.75">
      <c r="A1482" t="str">
        <f t="shared" si="22"/>
        <v>MoiryBoisCHAUFF</v>
      </c>
      <c r="B1482" s="148">
        <v>5490</v>
      </c>
      <c r="C1482" s="148" t="s">
        <v>509</v>
      </c>
      <c r="D1482" s="148" t="s">
        <v>66</v>
      </c>
      <c r="E1482" s="148">
        <v>872671.77725490008</v>
      </c>
      <c r="F1482" t="s">
        <v>249</v>
      </c>
      <c r="G1482"/>
    </row>
    <row r="1483" spans="1:7" ht="15.75">
      <c r="A1483" t="str">
        <f t="shared" ref="A1483:A1546" si="23">_xlfn.CONCAT(C1483,D1483,F1483)</f>
        <v>MoiryCADCHAUFF</v>
      </c>
      <c r="B1483" s="148">
        <v>5490</v>
      </c>
      <c r="C1483" s="148" t="s">
        <v>509</v>
      </c>
      <c r="D1483" s="148" t="s">
        <v>242</v>
      </c>
      <c r="E1483" s="148">
        <v>776578.6</v>
      </c>
      <c r="F1483" t="s">
        <v>249</v>
      </c>
      <c r="G1483"/>
    </row>
    <row r="1484" spans="1:7" ht="15.75">
      <c r="A1484" t="str">
        <f t="shared" si="23"/>
        <v>MoiryElectricitéCHAUFF</v>
      </c>
      <c r="B1484" s="148">
        <v>5490</v>
      </c>
      <c r="C1484" s="148" t="s">
        <v>509</v>
      </c>
      <c r="D1484" s="148" t="s">
        <v>97</v>
      </c>
      <c r="E1484" s="148">
        <v>269192.58064517</v>
      </c>
      <c r="F1484" t="s">
        <v>249</v>
      </c>
      <c r="G1484"/>
    </row>
    <row r="1485" spans="1:7" ht="15.75">
      <c r="A1485" t="str">
        <f t="shared" si="23"/>
        <v>MoiryGazCHAUFF</v>
      </c>
      <c r="B1485" s="148">
        <v>5490</v>
      </c>
      <c r="C1485" s="148" t="s">
        <v>509</v>
      </c>
      <c r="D1485" s="148" t="s">
        <v>239</v>
      </c>
      <c r="E1485" s="148">
        <v>26529.88235294</v>
      </c>
      <c r="F1485" t="s">
        <v>249</v>
      </c>
      <c r="G1485"/>
    </row>
    <row r="1486" spans="1:7" ht="15.75">
      <c r="A1486" t="str">
        <f t="shared" si="23"/>
        <v>MoiryMazoutCHAUFF</v>
      </c>
      <c r="B1486" s="148">
        <v>5490</v>
      </c>
      <c r="C1486" s="148" t="s">
        <v>509</v>
      </c>
      <c r="D1486" s="148" t="s">
        <v>70</v>
      </c>
      <c r="E1486" s="148">
        <v>1657951.5294117806</v>
      </c>
      <c r="F1486" t="s">
        <v>249</v>
      </c>
      <c r="G1486"/>
    </row>
    <row r="1487" spans="1:7" ht="15.75">
      <c r="A1487" t="str">
        <f t="shared" si="23"/>
        <v>MoiryNon renseignéCHAUFF</v>
      </c>
      <c r="B1487" s="148">
        <v>5490</v>
      </c>
      <c r="C1487" s="148" t="s">
        <v>509</v>
      </c>
      <c r="D1487" s="148" t="s">
        <v>696</v>
      </c>
      <c r="E1487" s="148">
        <v>0</v>
      </c>
      <c r="F1487" t="s">
        <v>249</v>
      </c>
      <c r="G1487"/>
    </row>
    <row r="1488" spans="1:7" ht="15.75">
      <c r="A1488" t="str">
        <f t="shared" si="23"/>
        <v>MoiryPACCHAUFF</v>
      </c>
      <c r="B1488" s="148">
        <v>5490</v>
      </c>
      <c r="C1488" s="148" t="s">
        <v>509</v>
      </c>
      <c r="D1488" s="148" t="s">
        <v>69</v>
      </c>
      <c r="E1488" s="148">
        <v>72602.992592609997</v>
      </c>
      <c r="F1488" t="s">
        <v>249</v>
      </c>
      <c r="G1488"/>
    </row>
    <row r="1489" spans="1:7" ht="15.75">
      <c r="A1489" t="str">
        <f t="shared" si="23"/>
        <v>MoirySolaireCHAUFF</v>
      </c>
      <c r="B1489" s="148">
        <v>5490</v>
      </c>
      <c r="C1489" s="148" t="s">
        <v>509</v>
      </c>
      <c r="D1489" s="148" t="s">
        <v>240</v>
      </c>
      <c r="E1489" s="148" t="e">
        <v>#N/A</v>
      </c>
      <c r="F1489" t="s">
        <v>249</v>
      </c>
      <c r="G1489"/>
    </row>
    <row r="1490" spans="1:7" ht="15.75">
      <c r="A1490" t="str">
        <f t="shared" si="23"/>
        <v>Mollens (VD)BoisCHAUFF</v>
      </c>
      <c r="B1490" s="148">
        <v>5431</v>
      </c>
      <c r="C1490" s="148" t="s">
        <v>631</v>
      </c>
      <c r="D1490" s="148" t="s">
        <v>66</v>
      </c>
      <c r="E1490" s="148">
        <v>1652522.5600000301</v>
      </c>
      <c r="F1490" t="s">
        <v>249</v>
      </c>
      <c r="G1490"/>
    </row>
    <row r="1491" spans="1:7" ht="15.75">
      <c r="A1491" t="str">
        <f t="shared" si="23"/>
        <v>Mollens (VD)ElectricitéCHAUFF</v>
      </c>
      <c r="B1491" s="148">
        <v>5431</v>
      </c>
      <c r="C1491" s="148" t="s">
        <v>631</v>
      </c>
      <c r="D1491" s="148" t="s">
        <v>97</v>
      </c>
      <c r="E1491" s="148">
        <v>578582.79569892003</v>
      </c>
      <c r="F1491" t="s">
        <v>249</v>
      </c>
      <c r="G1491"/>
    </row>
    <row r="1492" spans="1:7" ht="15.75">
      <c r="A1492" t="str">
        <f t="shared" si="23"/>
        <v>Mollens (VD)GazCHAUFF</v>
      </c>
      <c r="B1492" s="148">
        <v>5431</v>
      </c>
      <c r="C1492" s="148" t="s">
        <v>631</v>
      </c>
      <c r="D1492" s="148" t="s">
        <v>239</v>
      </c>
      <c r="E1492" s="148">
        <v>1821782.3250774201</v>
      </c>
      <c r="F1492" t="s">
        <v>249</v>
      </c>
      <c r="G1492"/>
    </row>
    <row r="1493" spans="1:7" ht="15.75">
      <c r="A1493" t="str">
        <f t="shared" si="23"/>
        <v>Mollens (VD)MazoutCHAUFF</v>
      </c>
      <c r="B1493" s="148">
        <v>5431</v>
      </c>
      <c r="C1493" s="148" t="s">
        <v>631</v>
      </c>
      <c r="D1493" s="148" t="s">
        <v>70</v>
      </c>
      <c r="E1493" s="148">
        <v>2180062.1176470499</v>
      </c>
      <c r="F1493" t="s">
        <v>249</v>
      </c>
      <c r="G1493"/>
    </row>
    <row r="1494" spans="1:7" ht="15.75">
      <c r="A1494" t="str">
        <f t="shared" si="23"/>
        <v>Mollens (VD)Non renseignéCHAUFF</v>
      </c>
      <c r="B1494" s="148">
        <v>5431</v>
      </c>
      <c r="C1494" s="148" t="s">
        <v>631</v>
      </c>
      <c r="D1494" s="148" t="s">
        <v>696</v>
      </c>
      <c r="E1494" s="148">
        <v>0</v>
      </c>
      <c r="F1494" t="s">
        <v>249</v>
      </c>
      <c r="G1494"/>
    </row>
    <row r="1495" spans="1:7" ht="15.75">
      <c r="A1495" t="str">
        <f t="shared" si="23"/>
        <v>Mollens (VD)PACCHAUFF</v>
      </c>
      <c r="B1495" s="148">
        <v>5431</v>
      </c>
      <c r="C1495" s="148" t="s">
        <v>631</v>
      </c>
      <c r="D1495" s="148" t="s">
        <v>69</v>
      </c>
      <c r="E1495" s="148">
        <v>68489.481481490002</v>
      </c>
      <c r="F1495" t="s">
        <v>249</v>
      </c>
      <c r="G1495"/>
    </row>
    <row r="1496" spans="1:7" ht="15.75">
      <c r="A1496" t="str">
        <f t="shared" si="23"/>
        <v>Mollens (VD)SolaireCHAUFF</v>
      </c>
      <c r="B1496" s="148">
        <v>5431</v>
      </c>
      <c r="C1496" s="148" t="s">
        <v>631</v>
      </c>
      <c r="D1496" s="148" t="s">
        <v>240</v>
      </c>
      <c r="E1496" s="148" t="e">
        <v>#N/A</v>
      </c>
      <c r="F1496" t="s">
        <v>249</v>
      </c>
      <c r="G1496"/>
    </row>
    <row r="1497" spans="1:7" ht="15.75">
      <c r="A1497" t="str">
        <f t="shared" si="23"/>
        <v>MolondinAutre agent énergétiqueCHAUFF</v>
      </c>
      <c r="B1497" s="148">
        <v>5921</v>
      </c>
      <c r="C1497" s="148" t="s">
        <v>510</v>
      </c>
      <c r="D1497" s="148" t="s">
        <v>245</v>
      </c>
      <c r="E1497" s="148">
        <v>12841.17647059</v>
      </c>
      <c r="F1497" t="s">
        <v>249</v>
      </c>
      <c r="G1497"/>
    </row>
    <row r="1498" spans="1:7" ht="15.75">
      <c r="A1498" t="str">
        <f t="shared" si="23"/>
        <v>MolondinBoisCHAUFF</v>
      </c>
      <c r="B1498" s="148">
        <v>5921</v>
      </c>
      <c r="C1498" s="148" t="s">
        <v>510</v>
      </c>
      <c r="D1498" s="148" t="s">
        <v>66</v>
      </c>
      <c r="E1498" s="148">
        <v>1106988.2666666701</v>
      </c>
      <c r="F1498" t="s">
        <v>249</v>
      </c>
      <c r="G1498"/>
    </row>
    <row r="1499" spans="1:7" ht="15.75">
      <c r="A1499" t="str">
        <f t="shared" si="23"/>
        <v>MolondinCADCHAUFF</v>
      </c>
      <c r="B1499" s="148">
        <v>5921</v>
      </c>
      <c r="C1499" s="148" t="s">
        <v>510</v>
      </c>
      <c r="D1499" s="148" t="s">
        <v>242</v>
      </c>
      <c r="E1499" s="148">
        <v>8288</v>
      </c>
      <c r="F1499" t="s">
        <v>249</v>
      </c>
      <c r="G1499"/>
    </row>
    <row r="1500" spans="1:7" ht="15.75">
      <c r="A1500" t="str">
        <f t="shared" si="23"/>
        <v>MolondinElectricitéCHAUFF</v>
      </c>
      <c r="B1500" s="148">
        <v>5921</v>
      </c>
      <c r="C1500" s="148" t="s">
        <v>510</v>
      </c>
      <c r="D1500" s="148" t="s">
        <v>97</v>
      </c>
      <c r="E1500" s="148">
        <v>398938.92473118007</v>
      </c>
      <c r="F1500" t="s">
        <v>249</v>
      </c>
      <c r="G1500"/>
    </row>
    <row r="1501" spans="1:7" ht="15.75">
      <c r="A1501" t="str">
        <f t="shared" si="23"/>
        <v>MolondinGazCHAUFF</v>
      </c>
      <c r="B1501" s="148">
        <v>5921</v>
      </c>
      <c r="C1501" s="148" t="s">
        <v>510</v>
      </c>
      <c r="D1501" s="148" t="s">
        <v>239</v>
      </c>
      <c r="E1501" s="148">
        <v>27179.996904030002</v>
      </c>
      <c r="F1501" t="s">
        <v>249</v>
      </c>
      <c r="G1501"/>
    </row>
    <row r="1502" spans="1:7" ht="15.75">
      <c r="A1502" t="str">
        <f t="shared" si="23"/>
        <v>MolondinMazoutCHAUFF</v>
      </c>
      <c r="B1502" s="148">
        <v>5921</v>
      </c>
      <c r="C1502" s="148" t="s">
        <v>510</v>
      </c>
      <c r="D1502" s="148" t="s">
        <v>70</v>
      </c>
      <c r="E1502" s="148">
        <v>3376367.9999999902</v>
      </c>
      <c r="F1502" t="s">
        <v>249</v>
      </c>
      <c r="G1502"/>
    </row>
    <row r="1503" spans="1:7" ht="15.75">
      <c r="A1503" t="str">
        <f t="shared" si="23"/>
        <v>MolondinNon renseignéCHAUFF</v>
      </c>
      <c r="B1503" s="148">
        <v>5921</v>
      </c>
      <c r="C1503" s="148" t="s">
        <v>510</v>
      </c>
      <c r="D1503" s="148" t="s">
        <v>696</v>
      </c>
      <c r="E1503" s="148">
        <v>0</v>
      </c>
      <c r="F1503" t="s">
        <v>249</v>
      </c>
      <c r="G1503"/>
    </row>
    <row r="1504" spans="1:7" ht="15.75">
      <c r="A1504" t="str">
        <f t="shared" si="23"/>
        <v>MolondinPACCHAUFF</v>
      </c>
      <c r="B1504" s="148">
        <v>5921</v>
      </c>
      <c r="C1504" s="148" t="s">
        <v>510</v>
      </c>
      <c r="D1504" s="148" t="s">
        <v>69</v>
      </c>
      <c r="E1504" s="148">
        <v>67969.666666669989</v>
      </c>
      <c r="F1504" t="s">
        <v>249</v>
      </c>
      <c r="G1504"/>
    </row>
    <row r="1505" spans="1:7" ht="15.75">
      <c r="A1505" t="str">
        <f t="shared" si="23"/>
        <v>MolondinSolaireCHAUFF</v>
      </c>
      <c r="B1505" s="148">
        <v>5921</v>
      </c>
      <c r="C1505" s="148" t="s">
        <v>510</v>
      </c>
      <c r="D1505" s="148" t="s">
        <v>240</v>
      </c>
      <c r="E1505" s="148" t="e">
        <v>#N/A</v>
      </c>
      <c r="F1505" t="s">
        <v>249</v>
      </c>
      <c r="G1505"/>
    </row>
    <row r="1506" spans="1:7" ht="15.75">
      <c r="A1506" t="str">
        <f t="shared" si="23"/>
        <v>Mont-la-VilleBoisCHAUFF</v>
      </c>
      <c r="B1506" s="148">
        <v>5491</v>
      </c>
      <c r="C1506" s="148" t="s">
        <v>629</v>
      </c>
      <c r="D1506" s="148" t="s">
        <v>66</v>
      </c>
      <c r="E1506" s="148">
        <v>1370841.9137255002</v>
      </c>
      <c r="F1506" t="s">
        <v>249</v>
      </c>
      <c r="G1506"/>
    </row>
    <row r="1507" spans="1:7" ht="15.75">
      <c r="A1507" t="str">
        <f t="shared" si="23"/>
        <v>Mont-la-VilleElectricitéCHAUFF</v>
      </c>
      <c r="B1507" s="148">
        <v>5491</v>
      </c>
      <c r="C1507" s="148" t="s">
        <v>629</v>
      </c>
      <c r="D1507" s="148" t="s">
        <v>97</v>
      </c>
      <c r="E1507" s="148">
        <v>1084526.23655914</v>
      </c>
      <c r="F1507" t="s">
        <v>249</v>
      </c>
      <c r="G1507"/>
    </row>
    <row r="1508" spans="1:7" ht="15.75">
      <c r="A1508" t="str">
        <f t="shared" si="23"/>
        <v>Mont-la-VilleGazCHAUFF</v>
      </c>
      <c r="B1508" s="148">
        <v>5491</v>
      </c>
      <c r="C1508" s="148" t="s">
        <v>629</v>
      </c>
      <c r="D1508" s="148" t="s">
        <v>239</v>
      </c>
      <c r="E1508" s="148">
        <v>821395.67182661023</v>
      </c>
      <c r="F1508" t="s">
        <v>249</v>
      </c>
      <c r="G1508"/>
    </row>
    <row r="1509" spans="1:7" ht="15.75">
      <c r="A1509" t="str">
        <f t="shared" si="23"/>
        <v>Mont-la-VilleMazoutCHAUFF</v>
      </c>
      <c r="B1509" s="148">
        <v>5491</v>
      </c>
      <c r="C1509" s="148" t="s">
        <v>629</v>
      </c>
      <c r="D1509" s="148" t="s">
        <v>70</v>
      </c>
      <c r="E1509" s="148">
        <v>3268101.8823529202</v>
      </c>
      <c r="F1509" t="s">
        <v>249</v>
      </c>
      <c r="G1509"/>
    </row>
    <row r="1510" spans="1:7" ht="15.75">
      <c r="A1510" t="str">
        <f t="shared" si="23"/>
        <v>Mont-la-VilleNon renseignéCHAUFF</v>
      </c>
      <c r="B1510" s="148">
        <v>5491</v>
      </c>
      <c r="C1510" s="148" t="s">
        <v>629</v>
      </c>
      <c r="D1510" s="148" t="s">
        <v>696</v>
      </c>
      <c r="E1510" s="148">
        <v>0</v>
      </c>
      <c r="F1510" t="s">
        <v>249</v>
      </c>
      <c r="G1510"/>
    </row>
    <row r="1511" spans="1:7" ht="15.75">
      <c r="A1511" t="str">
        <f t="shared" si="23"/>
        <v>Mont-la-VillePACCHAUFF</v>
      </c>
      <c r="B1511" s="148">
        <v>5491</v>
      </c>
      <c r="C1511" s="148" t="s">
        <v>629</v>
      </c>
      <c r="D1511" s="148" t="s">
        <v>69</v>
      </c>
      <c r="E1511" s="148">
        <v>188170.50539450994</v>
      </c>
      <c r="F1511" t="s">
        <v>249</v>
      </c>
      <c r="G1511"/>
    </row>
    <row r="1512" spans="1:7" ht="15.75">
      <c r="A1512" t="str">
        <f t="shared" si="23"/>
        <v>Mont-la-VilleAutre agent énergétiqueCHAUFF</v>
      </c>
      <c r="B1512" s="148">
        <v>5491</v>
      </c>
      <c r="C1512" s="148" t="s">
        <v>629</v>
      </c>
      <c r="D1512" s="148" t="s">
        <v>245</v>
      </c>
      <c r="E1512" s="148" t="e">
        <v>#N/A</v>
      </c>
      <c r="F1512" t="s">
        <v>249</v>
      </c>
      <c r="G1512"/>
    </row>
    <row r="1513" spans="1:7" ht="15.75">
      <c r="A1513" t="str">
        <f t="shared" si="23"/>
        <v>Mont-la-VilleSolaireCHAUFF</v>
      </c>
      <c r="B1513" s="148">
        <v>5491</v>
      </c>
      <c r="C1513" s="148" t="s">
        <v>629</v>
      </c>
      <c r="D1513" s="148" t="s">
        <v>240</v>
      </c>
      <c r="E1513" s="148" t="e">
        <v>#N/A</v>
      </c>
      <c r="F1513" t="s">
        <v>249</v>
      </c>
      <c r="G1513"/>
    </row>
    <row r="1514" spans="1:7" ht="15.75">
      <c r="A1514" t="str">
        <f t="shared" si="23"/>
        <v>Mont-sur-RolleBoisCHAUFF</v>
      </c>
      <c r="B1514" s="148">
        <v>5859</v>
      </c>
      <c r="C1514" s="148" t="s">
        <v>628</v>
      </c>
      <c r="D1514" s="148" t="s">
        <v>66</v>
      </c>
      <c r="E1514" s="148">
        <v>1516465.5058823403</v>
      </c>
      <c r="F1514" t="s">
        <v>249</v>
      </c>
      <c r="G1514"/>
    </row>
    <row r="1515" spans="1:7" ht="15.75">
      <c r="A1515" t="str">
        <f t="shared" si="23"/>
        <v>Mont-sur-RolleElectricitéCHAUFF</v>
      </c>
      <c r="B1515" s="148">
        <v>5859</v>
      </c>
      <c r="C1515" s="148" t="s">
        <v>628</v>
      </c>
      <c r="D1515" s="148" t="s">
        <v>97</v>
      </c>
      <c r="E1515" s="148">
        <v>2184555.6989246793</v>
      </c>
      <c r="F1515" t="s">
        <v>249</v>
      </c>
      <c r="G1515"/>
    </row>
    <row r="1516" spans="1:7" ht="15.75">
      <c r="A1516" t="str">
        <f t="shared" si="23"/>
        <v>Mont-sur-RolleGazCHAUFF</v>
      </c>
      <c r="B1516" s="148">
        <v>5859</v>
      </c>
      <c r="C1516" s="148" t="s">
        <v>628</v>
      </c>
      <c r="D1516" s="148" t="s">
        <v>239</v>
      </c>
      <c r="E1516" s="148">
        <v>11934678.055108482</v>
      </c>
      <c r="F1516" t="s">
        <v>249</v>
      </c>
      <c r="G1516"/>
    </row>
    <row r="1517" spans="1:7" ht="15.75">
      <c r="A1517" t="str">
        <f t="shared" si="23"/>
        <v>Mont-sur-RolleMazoutCHAUFF</v>
      </c>
      <c r="B1517" s="148">
        <v>5859</v>
      </c>
      <c r="C1517" s="148" t="s">
        <v>628</v>
      </c>
      <c r="D1517" s="148" t="s">
        <v>70</v>
      </c>
      <c r="E1517" s="148">
        <v>9832367.2823530175</v>
      </c>
      <c r="F1517" t="s">
        <v>249</v>
      </c>
      <c r="G1517"/>
    </row>
    <row r="1518" spans="1:7" ht="15.75">
      <c r="A1518" t="str">
        <f t="shared" si="23"/>
        <v>Mont-sur-RolleNon renseignéCHAUFF</v>
      </c>
      <c r="B1518" s="148">
        <v>5859</v>
      </c>
      <c r="C1518" s="148" t="s">
        <v>628</v>
      </c>
      <c r="D1518" s="148" t="s">
        <v>696</v>
      </c>
      <c r="E1518" s="148">
        <v>0</v>
      </c>
      <c r="F1518" t="s">
        <v>249</v>
      </c>
      <c r="G1518"/>
    </row>
    <row r="1519" spans="1:7" ht="15.75">
      <c r="A1519" t="str">
        <f t="shared" si="23"/>
        <v>Mont-sur-RollePACCHAUFF</v>
      </c>
      <c r="B1519" s="148">
        <v>5859</v>
      </c>
      <c r="C1519" s="148" t="s">
        <v>628</v>
      </c>
      <c r="D1519" s="148" t="s">
        <v>69</v>
      </c>
      <c r="E1519" s="148">
        <v>665743.83863176999</v>
      </c>
      <c r="F1519" t="s">
        <v>249</v>
      </c>
      <c r="G1519"/>
    </row>
    <row r="1520" spans="1:7" ht="15.75">
      <c r="A1520" t="str">
        <f t="shared" si="23"/>
        <v>Mont-sur-RolleAutre agent énergétiqueCHAUFF</v>
      </c>
      <c r="B1520" s="148">
        <v>5859</v>
      </c>
      <c r="C1520" s="148" t="s">
        <v>628</v>
      </c>
      <c r="D1520" s="148" t="s">
        <v>245</v>
      </c>
      <c r="E1520" s="148" t="e">
        <v>#N/A</v>
      </c>
      <c r="F1520" t="s">
        <v>249</v>
      </c>
      <c r="G1520"/>
    </row>
    <row r="1521" spans="1:7" ht="15.75">
      <c r="A1521" t="str">
        <f t="shared" si="23"/>
        <v>Mont-sur-RolleCharbonCHAUFF</v>
      </c>
      <c r="B1521" s="148">
        <v>5859</v>
      </c>
      <c r="C1521" s="148" t="s">
        <v>628</v>
      </c>
      <c r="D1521" s="148" t="s">
        <v>695</v>
      </c>
      <c r="E1521" s="148" t="e">
        <v>#N/A</v>
      </c>
      <c r="F1521" t="s">
        <v>249</v>
      </c>
      <c r="G1521"/>
    </row>
    <row r="1522" spans="1:7" ht="15.75">
      <c r="A1522" t="str">
        <f t="shared" si="23"/>
        <v>Mont-sur-RolleSolaireCHAUFF</v>
      </c>
      <c r="B1522" s="148">
        <v>5859</v>
      </c>
      <c r="C1522" s="148" t="s">
        <v>628</v>
      </c>
      <c r="D1522" s="148" t="s">
        <v>240</v>
      </c>
      <c r="E1522" s="148" t="e">
        <v>#N/A</v>
      </c>
      <c r="F1522" t="s">
        <v>249</v>
      </c>
      <c r="G1522"/>
    </row>
    <row r="1523" spans="1:7" ht="15.75">
      <c r="A1523" t="str">
        <f t="shared" si="23"/>
        <v>Montagny-près-YverdonBoisCHAUFF</v>
      </c>
      <c r="B1523" s="148">
        <v>5922</v>
      </c>
      <c r="C1523" s="148" t="s">
        <v>630</v>
      </c>
      <c r="D1523" s="148" t="s">
        <v>66</v>
      </c>
      <c r="E1523" s="148">
        <v>940172.79999999993</v>
      </c>
      <c r="F1523" t="s">
        <v>249</v>
      </c>
      <c r="G1523"/>
    </row>
    <row r="1524" spans="1:7" ht="15.75">
      <c r="A1524" t="str">
        <f t="shared" si="23"/>
        <v>Montagny-près-YverdonElectricitéCHAUFF</v>
      </c>
      <c r="B1524" s="148">
        <v>5922</v>
      </c>
      <c r="C1524" s="148" t="s">
        <v>630</v>
      </c>
      <c r="D1524" s="148" t="s">
        <v>97</v>
      </c>
      <c r="E1524" s="148">
        <v>1267518.4946236503</v>
      </c>
      <c r="F1524" t="s">
        <v>249</v>
      </c>
      <c r="G1524"/>
    </row>
    <row r="1525" spans="1:7" ht="15.75">
      <c r="A1525" t="str">
        <f t="shared" si="23"/>
        <v>Montagny-près-YverdonGazCHAUFF</v>
      </c>
      <c r="B1525" s="148">
        <v>5922</v>
      </c>
      <c r="C1525" s="148" t="s">
        <v>630</v>
      </c>
      <c r="D1525" s="148" t="s">
        <v>239</v>
      </c>
      <c r="E1525" s="148">
        <v>11308530.653250754</v>
      </c>
      <c r="F1525" t="s">
        <v>249</v>
      </c>
      <c r="G1525"/>
    </row>
    <row r="1526" spans="1:7" ht="15.75">
      <c r="A1526" t="str">
        <f t="shared" si="23"/>
        <v>Montagny-près-YverdonMazoutCHAUFF</v>
      </c>
      <c r="B1526" s="148">
        <v>5922</v>
      </c>
      <c r="C1526" s="148" t="s">
        <v>630</v>
      </c>
      <c r="D1526" s="148" t="s">
        <v>70</v>
      </c>
      <c r="E1526" s="148">
        <v>4834761.1963217501</v>
      </c>
      <c r="F1526" t="s">
        <v>249</v>
      </c>
      <c r="G1526"/>
    </row>
    <row r="1527" spans="1:7" ht="15.75">
      <c r="A1527" t="str">
        <f t="shared" si="23"/>
        <v>Montagny-près-YverdonNon renseignéCHAUFF</v>
      </c>
      <c r="B1527" s="148">
        <v>5922</v>
      </c>
      <c r="C1527" s="148" t="s">
        <v>630</v>
      </c>
      <c r="D1527" s="148" t="s">
        <v>696</v>
      </c>
      <c r="E1527" s="148">
        <v>0</v>
      </c>
      <c r="F1527" t="s">
        <v>249</v>
      </c>
      <c r="G1527"/>
    </row>
    <row r="1528" spans="1:7" ht="15.75">
      <c r="A1528" t="str">
        <f t="shared" si="23"/>
        <v>Montagny-près-YverdonPACCHAUFF</v>
      </c>
      <c r="B1528" s="148">
        <v>5922</v>
      </c>
      <c r="C1528" s="148" t="s">
        <v>630</v>
      </c>
      <c r="D1528" s="148" t="s">
        <v>69</v>
      </c>
      <c r="E1528" s="148">
        <v>329737.66376810003</v>
      </c>
      <c r="F1528" t="s">
        <v>249</v>
      </c>
      <c r="G1528"/>
    </row>
    <row r="1529" spans="1:7" ht="15.75">
      <c r="A1529" t="str">
        <f t="shared" si="23"/>
        <v>Montagny-près-YverdonSolaireCHAUFF</v>
      </c>
      <c r="B1529" s="148">
        <v>5922</v>
      </c>
      <c r="C1529" s="148" t="s">
        <v>630</v>
      </c>
      <c r="D1529" s="148" t="s">
        <v>240</v>
      </c>
      <c r="E1529" s="148">
        <v>8512</v>
      </c>
      <c r="F1529" t="s">
        <v>249</v>
      </c>
      <c r="G1529"/>
    </row>
    <row r="1530" spans="1:7" ht="15.75">
      <c r="A1530" t="str">
        <f t="shared" si="23"/>
        <v>MontanaireAutre agent énergétiqueCHAUFF</v>
      </c>
      <c r="B1530" s="148">
        <v>5693</v>
      </c>
      <c r="C1530" s="148" t="s">
        <v>511</v>
      </c>
      <c r="D1530" s="148" t="s">
        <v>245</v>
      </c>
      <c r="E1530" s="148">
        <v>12649.411764709999</v>
      </c>
      <c r="F1530" t="s">
        <v>249</v>
      </c>
      <c r="G1530"/>
    </row>
    <row r="1531" spans="1:7" ht="15.75">
      <c r="A1531" t="str">
        <f t="shared" si="23"/>
        <v>MontanaireBoisCHAUFF</v>
      </c>
      <c r="B1531" s="148">
        <v>5693</v>
      </c>
      <c r="C1531" s="148" t="s">
        <v>511</v>
      </c>
      <c r="D1531" s="148" t="s">
        <v>66</v>
      </c>
      <c r="E1531" s="148">
        <v>7349602.6807842972</v>
      </c>
      <c r="F1531" t="s">
        <v>249</v>
      </c>
      <c r="G1531"/>
    </row>
    <row r="1532" spans="1:7" ht="15.75">
      <c r="A1532" t="str">
        <f t="shared" si="23"/>
        <v>MontanaireCADCHAUFF</v>
      </c>
      <c r="B1532" s="148">
        <v>5693</v>
      </c>
      <c r="C1532" s="148" t="s">
        <v>511</v>
      </c>
      <c r="D1532" s="148" t="s">
        <v>242</v>
      </c>
      <c r="E1532" s="148">
        <v>727515.00000000012</v>
      </c>
      <c r="F1532" t="s">
        <v>249</v>
      </c>
      <c r="G1532"/>
    </row>
    <row r="1533" spans="1:7" ht="15.75">
      <c r="A1533" t="str">
        <f t="shared" si="23"/>
        <v>MontanaireCharbonCHAUFF</v>
      </c>
      <c r="B1533" s="148">
        <v>5693</v>
      </c>
      <c r="C1533" s="148" t="s">
        <v>511</v>
      </c>
      <c r="D1533" s="148" t="s">
        <v>695</v>
      </c>
      <c r="E1533" s="148" t="e">
        <v>#N/A</v>
      </c>
      <c r="F1533" t="s">
        <v>249</v>
      </c>
      <c r="G1533"/>
    </row>
    <row r="1534" spans="1:7" ht="15.75">
      <c r="A1534" t="str">
        <f t="shared" si="23"/>
        <v>MontanaireElectricitéCHAUFF</v>
      </c>
      <c r="B1534" s="148">
        <v>5693</v>
      </c>
      <c r="C1534" s="148" t="s">
        <v>511</v>
      </c>
      <c r="D1534" s="148" t="s">
        <v>97</v>
      </c>
      <c r="E1534" s="148">
        <v>2591297.63440863</v>
      </c>
      <c r="F1534" t="s">
        <v>249</v>
      </c>
      <c r="G1534"/>
    </row>
    <row r="1535" spans="1:7" ht="15.75">
      <c r="A1535" t="str">
        <f t="shared" si="23"/>
        <v>MontanaireGazCHAUFF</v>
      </c>
      <c r="B1535" s="148">
        <v>5693</v>
      </c>
      <c r="C1535" s="148" t="s">
        <v>511</v>
      </c>
      <c r="D1535" s="148" t="s">
        <v>239</v>
      </c>
      <c r="E1535" s="148">
        <v>7984927.12074308</v>
      </c>
      <c r="F1535" t="s">
        <v>249</v>
      </c>
      <c r="G1535"/>
    </row>
    <row r="1536" spans="1:7" ht="15.75">
      <c r="A1536" t="str">
        <f t="shared" si="23"/>
        <v>MontanaireMazoutCHAUFF</v>
      </c>
      <c r="B1536" s="148">
        <v>5693</v>
      </c>
      <c r="C1536" s="148" t="s">
        <v>511</v>
      </c>
      <c r="D1536" s="148" t="s">
        <v>70</v>
      </c>
      <c r="E1536" s="148">
        <v>20369512.597793285</v>
      </c>
      <c r="F1536" t="s">
        <v>249</v>
      </c>
      <c r="G1536"/>
    </row>
    <row r="1537" spans="1:7" ht="15.75">
      <c r="A1537" t="str">
        <f t="shared" si="23"/>
        <v>MontanaireNon renseignéCHAUFF</v>
      </c>
      <c r="B1537" s="148">
        <v>5693</v>
      </c>
      <c r="C1537" s="148" t="s">
        <v>511</v>
      </c>
      <c r="D1537" s="148" t="s">
        <v>696</v>
      </c>
      <c r="E1537" s="148">
        <v>0</v>
      </c>
      <c r="F1537" t="s">
        <v>249</v>
      </c>
      <c r="G1537"/>
    </row>
    <row r="1538" spans="1:7" ht="15.75">
      <c r="A1538" t="str">
        <f t="shared" si="23"/>
        <v>MontanairePACCHAUFF</v>
      </c>
      <c r="B1538" s="148">
        <v>5693</v>
      </c>
      <c r="C1538" s="148" t="s">
        <v>511</v>
      </c>
      <c r="D1538" s="148" t="s">
        <v>69</v>
      </c>
      <c r="E1538" s="148">
        <v>703652.84809102991</v>
      </c>
      <c r="F1538" t="s">
        <v>249</v>
      </c>
      <c r="G1538"/>
    </row>
    <row r="1539" spans="1:7" ht="15.75">
      <c r="A1539" t="str">
        <f t="shared" si="23"/>
        <v>MontanaireSolaireCHAUFF</v>
      </c>
      <c r="B1539" s="148">
        <v>5693</v>
      </c>
      <c r="C1539" s="148" t="s">
        <v>511</v>
      </c>
      <c r="D1539" s="148" t="s">
        <v>240</v>
      </c>
      <c r="E1539" s="148">
        <v>123520</v>
      </c>
      <c r="F1539" t="s">
        <v>249</v>
      </c>
      <c r="G1539"/>
    </row>
    <row r="1540" spans="1:7" ht="15.75">
      <c r="A1540" t="str">
        <f t="shared" si="23"/>
        <v>MontcherandBoisCHAUFF</v>
      </c>
      <c r="B1540" s="148">
        <v>5756</v>
      </c>
      <c r="C1540" s="148" t="s">
        <v>512</v>
      </c>
      <c r="D1540" s="148" t="s">
        <v>66</v>
      </c>
      <c r="E1540" s="148">
        <v>232581.86666667997</v>
      </c>
      <c r="F1540" t="s">
        <v>249</v>
      </c>
      <c r="G1540"/>
    </row>
    <row r="1541" spans="1:7" ht="15.75">
      <c r="A1541" t="str">
        <f t="shared" si="23"/>
        <v>MontcherandCADCHAUFF</v>
      </c>
      <c r="B1541" s="148">
        <v>5756</v>
      </c>
      <c r="C1541" s="148" t="s">
        <v>512</v>
      </c>
      <c r="D1541" s="148" t="s">
        <v>242</v>
      </c>
      <c r="E1541" s="148">
        <v>1980</v>
      </c>
      <c r="F1541" t="s">
        <v>249</v>
      </c>
      <c r="G1541"/>
    </row>
    <row r="1542" spans="1:7" ht="15.75">
      <c r="A1542" t="str">
        <f t="shared" si="23"/>
        <v>MontcherandElectricitéCHAUFF</v>
      </c>
      <c r="B1542" s="148">
        <v>5756</v>
      </c>
      <c r="C1542" s="148" t="s">
        <v>512</v>
      </c>
      <c r="D1542" s="148" t="s">
        <v>97</v>
      </c>
      <c r="E1542" s="148">
        <v>681840.19354839996</v>
      </c>
      <c r="F1542" t="s">
        <v>249</v>
      </c>
      <c r="G1542"/>
    </row>
    <row r="1543" spans="1:7" ht="15.75">
      <c r="A1543" t="str">
        <f t="shared" si="23"/>
        <v>MontcherandGazCHAUFF</v>
      </c>
      <c r="B1543" s="148">
        <v>5756</v>
      </c>
      <c r="C1543" s="148" t="s">
        <v>512</v>
      </c>
      <c r="D1543" s="148" t="s">
        <v>239</v>
      </c>
      <c r="E1543" s="148">
        <v>2613773.394427279</v>
      </c>
      <c r="F1543" t="s">
        <v>249</v>
      </c>
      <c r="G1543"/>
    </row>
    <row r="1544" spans="1:7" ht="15.75">
      <c r="A1544" t="str">
        <f t="shared" si="23"/>
        <v>MontcherandMazoutCHAUFF</v>
      </c>
      <c r="B1544" s="148">
        <v>5756</v>
      </c>
      <c r="C1544" s="148" t="s">
        <v>512</v>
      </c>
      <c r="D1544" s="148" t="s">
        <v>70</v>
      </c>
      <c r="E1544" s="148">
        <v>2145869.2117647193</v>
      </c>
      <c r="F1544" t="s">
        <v>249</v>
      </c>
      <c r="G1544"/>
    </row>
    <row r="1545" spans="1:7" ht="15.75">
      <c r="A1545" t="str">
        <f t="shared" si="23"/>
        <v>MontcherandNon renseignéCHAUFF</v>
      </c>
      <c r="B1545" s="148">
        <v>5756</v>
      </c>
      <c r="C1545" s="148" t="s">
        <v>512</v>
      </c>
      <c r="D1545" s="148" t="s">
        <v>696</v>
      </c>
      <c r="E1545" s="148">
        <v>0</v>
      </c>
      <c r="F1545" t="s">
        <v>249</v>
      </c>
      <c r="G1545"/>
    </row>
    <row r="1546" spans="1:7" ht="15.75">
      <c r="A1546" t="str">
        <f t="shared" si="23"/>
        <v>MontcherandPACCHAUFF</v>
      </c>
      <c r="B1546" s="148">
        <v>5756</v>
      </c>
      <c r="C1546" s="148" t="s">
        <v>512</v>
      </c>
      <c r="D1546" s="148" t="s">
        <v>69</v>
      </c>
      <c r="E1546" s="148">
        <v>35062.814814810001</v>
      </c>
      <c r="F1546" t="s">
        <v>249</v>
      </c>
      <c r="G1546"/>
    </row>
    <row r="1547" spans="1:7" ht="15.75">
      <c r="A1547" t="str">
        <f t="shared" ref="A1547:A1610" si="24">_xlfn.CONCAT(C1547,D1547,F1547)</f>
        <v>MontcherandSolaireCHAUFF</v>
      </c>
      <c r="B1547" s="148">
        <v>5756</v>
      </c>
      <c r="C1547" s="148" t="s">
        <v>512</v>
      </c>
      <c r="D1547" s="148" t="s">
        <v>240</v>
      </c>
      <c r="E1547" s="148">
        <v>57516.800000000003</v>
      </c>
      <c r="F1547" t="s">
        <v>249</v>
      </c>
      <c r="G1547"/>
    </row>
    <row r="1548" spans="1:7" ht="15.75">
      <c r="A1548" t="str">
        <f t="shared" si="24"/>
        <v>MontilliezBoisCHAUFF</v>
      </c>
      <c r="B1548" s="148">
        <v>5540</v>
      </c>
      <c r="C1548" s="148" t="s">
        <v>513</v>
      </c>
      <c r="D1548" s="148" t="s">
        <v>66</v>
      </c>
      <c r="E1548" s="148">
        <v>2433942.0266666599</v>
      </c>
      <c r="F1548" t="s">
        <v>249</v>
      </c>
      <c r="G1548"/>
    </row>
    <row r="1549" spans="1:7" ht="15.75">
      <c r="A1549" t="str">
        <f t="shared" si="24"/>
        <v>MontilliezCADCHAUFF</v>
      </c>
      <c r="B1549" s="148">
        <v>5540</v>
      </c>
      <c r="C1549" s="148" t="s">
        <v>513</v>
      </c>
      <c r="D1549" s="148" t="s">
        <v>242</v>
      </c>
      <c r="E1549" s="148">
        <v>116582.40000000001</v>
      </c>
      <c r="F1549" t="s">
        <v>249</v>
      </c>
      <c r="G1549"/>
    </row>
    <row r="1550" spans="1:7" ht="15.75">
      <c r="A1550" t="str">
        <f t="shared" si="24"/>
        <v>MontilliezElectricitéCHAUFF</v>
      </c>
      <c r="B1550" s="148">
        <v>5540</v>
      </c>
      <c r="C1550" s="148" t="s">
        <v>513</v>
      </c>
      <c r="D1550" s="148" t="s">
        <v>97</v>
      </c>
      <c r="E1550" s="148">
        <v>2103482.3655913901</v>
      </c>
      <c r="F1550" t="s">
        <v>249</v>
      </c>
      <c r="G1550"/>
    </row>
    <row r="1551" spans="1:7" ht="15.75">
      <c r="A1551" t="str">
        <f t="shared" si="24"/>
        <v>MontilliezGazCHAUFF</v>
      </c>
      <c r="B1551" s="148">
        <v>5540</v>
      </c>
      <c r="C1551" s="148" t="s">
        <v>513</v>
      </c>
      <c r="D1551" s="148" t="s">
        <v>239</v>
      </c>
      <c r="E1551" s="148">
        <v>5077816.8835913027</v>
      </c>
      <c r="F1551" t="s">
        <v>249</v>
      </c>
      <c r="G1551"/>
    </row>
    <row r="1552" spans="1:7" ht="15.75">
      <c r="A1552" t="str">
        <f t="shared" si="24"/>
        <v>MontilliezMazoutCHAUFF</v>
      </c>
      <c r="B1552" s="148">
        <v>5540</v>
      </c>
      <c r="C1552" s="148" t="s">
        <v>513</v>
      </c>
      <c r="D1552" s="148" t="s">
        <v>70</v>
      </c>
      <c r="E1552" s="148">
        <v>7195983.9294117736</v>
      </c>
      <c r="F1552" t="s">
        <v>249</v>
      </c>
      <c r="G1552"/>
    </row>
    <row r="1553" spans="1:7" ht="15.75">
      <c r="A1553" t="str">
        <f t="shared" si="24"/>
        <v>MontilliezNon renseignéCHAUFF</v>
      </c>
      <c r="B1553" s="148">
        <v>5540</v>
      </c>
      <c r="C1553" s="148" t="s">
        <v>513</v>
      </c>
      <c r="D1553" s="148" t="s">
        <v>696</v>
      </c>
      <c r="E1553" s="148">
        <v>0</v>
      </c>
      <c r="F1553" t="s">
        <v>249</v>
      </c>
      <c r="G1553"/>
    </row>
    <row r="1554" spans="1:7" ht="15.75">
      <c r="A1554" t="str">
        <f t="shared" si="24"/>
        <v>MontilliezPACCHAUFF</v>
      </c>
      <c r="B1554" s="148">
        <v>5540</v>
      </c>
      <c r="C1554" s="148" t="s">
        <v>513</v>
      </c>
      <c r="D1554" s="148" t="s">
        <v>69</v>
      </c>
      <c r="E1554" s="148">
        <v>466841.20903849002</v>
      </c>
      <c r="F1554" t="s">
        <v>249</v>
      </c>
      <c r="G1554"/>
    </row>
    <row r="1555" spans="1:7" ht="15.75">
      <c r="A1555" t="str">
        <f t="shared" si="24"/>
        <v>MontilliezSolaireCHAUFF</v>
      </c>
      <c r="B1555" s="148">
        <v>5540</v>
      </c>
      <c r="C1555" s="148" t="s">
        <v>513</v>
      </c>
      <c r="D1555" s="148" t="s">
        <v>240</v>
      </c>
      <c r="E1555" s="148">
        <v>37155.200000000004</v>
      </c>
      <c r="F1555" t="s">
        <v>249</v>
      </c>
      <c r="G1555"/>
    </row>
    <row r="1556" spans="1:7" ht="15.75">
      <c r="A1556" t="str">
        <f t="shared" si="24"/>
        <v>MontilliezAutre agent énergétiqueCHAUFF</v>
      </c>
      <c r="B1556" s="148">
        <v>5540</v>
      </c>
      <c r="C1556" s="148" t="s">
        <v>513</v>
      </c>
      <c r="D1556" s="148" t="s">
        <v>245</v>
      </c>
      <c r="E1556" s="148" t="e">
        <v>#N/A</v>
      </c>
      <c r="F1556" t="s">
        <v>249</v>
      </c>
      <c r="G1556"/>
    </row>
    <row r="1557" spans="1:7" ht="15.75">
      <c r="A1557" t="str">
        <f t="shared" si="24"/>
        <v>MontpreveyresAutre agent énergétiqueCHAUFF</v>
      </c>
      <c r="B1557" s="148">
        <v>5792</v>
      </c>
      <c r="C1557" s="148" t="s">
        <v>514</v>
      </c>
      <c r="D1557" s="148" t="s">
        <v>245</v>
      </c>
      <c r="E1557" s="148">
        <v>9421.1764705900005</v>
      </c>
      <c r="F1557" t="s">
        <v>249</v>
      </c>
      <c r="G1557"/>
    </row>
    <row r="1558" spans="1:7" ht="15.75">
      <c r="A1558" t="str">
        <f t="shared" si="24"/>
        <v>MontpreveyresBoisCHAUFF</v>
      </c>
      <c r="B1558" s="148">
        <v>5792</v>
      </c>
      <c r="C1558" s="148" t="s">
        <v>514</v>
      </c>
      <c r="D1558" s="148" t="s">
        <v>66</v>
      </c>
      <c r="E1558" s="148">
        <v>540965.55686273996</v>
      </c>
      <c r="F1558" t="s">
        <v>249</v>
      </c>
      <c r="G1558"/>
    </row>
    <row r="1559" spans="1:7" ht="15.75">
      <c r="A1559" t="str">
        <f t="shared" si="24"/>
        <v>MontpreveyresElectricitéCHAUFF</v>
      </c>
      <c r="B1559" s="148">
        <v>5792</v>
      </c>
      <c r="C1559" s="148" t="s">
        <v>514</v>
      </c>
      <c r="D1559" s="148" t="s">
        <v>97</v>
      </c>
      <c r="E1559" s="148">
        <v>400595.78494623007</v>
      </c>
      <c r="F1559" t="s">
        <v>249</v>
      </c>
      <c r="G1559"/>
    </row>
    <row r="1560" spans="1:7" ht="15.75">
      <c r="A1560" t="str">
        <f t="shared" si="24"/>
        <v>MontpreveyresGazCHAUFF</v>
      </c>
      <c r="B1560" s="148">
        <v>5792</v>
      </c>
      <c r="C1560" s="148" t="s">
        <v>514</v>
      </c>
      <c r="D1560" s="148" t="s">
        <v>239</v>
      </c>
      <c r="E1560" s="148">
        <v>324623.86377709999</v>
      </c>
      <c r="F1560" t="s">
        <v>249</v>
      </c>
      <c r="G1560"/>
    </row>
    <row r="1561" spans="1:7" ht="15.75">
      <c r="A1561" t="str">
        <f t="shared" si="24"/>
        <v>MontpreveyresMazoutCHAUFF</v>
      </c>
      <c r="B1561" s="148">
        <v>5792</v>
      </c>
      <c r="C1561" s="148" t="s">
        <v>514</v>
      </c>
      <c r="D1561" s="148" t="s">
        <v>70</v>
      </c>
      <c r="E1561" s="148">
        <v>4096539.7647059099</v>
      </c>
      <c r="F1561" t="s">
        <v>249</v>
      </c>
      <c r="G1561"/>
    </row>
    <row r="1562" spans="1:7" ht="15.75">
      <c r="A1562" t="str">
        <f t="shared" si="24"/>
        <v>MontpreveyresNon renseignéCHAUFF</v>
      </c>
      <c r="B1562" s="148">
        <v>5792</v>
      </c>
      <c r="C1562" s="148" t="s">
        <v>514</v>
      </c>
      <c r="D1562" s="148" t="s">
        <v>696</v>
      </c>
      <c r="E1562" s="148">
        <v>0</v>
      </c>
      <c r="F1562" t="s">
        <v>249</v>
      </c>
      <c r="G1562"/>
    </row>
    <row r="1563" spans="1:7" ht="15.75">
      <c r="A1563" t="str">
        <f t="shared" si="24"/>
        <v>MontpreveyresPACCHAUFF</v>
      </c>
      <c r="B1563" s="148">
        <v>5792</v>
      </c>
      <c r="C1563" s="148" t="s">
        <v>514</v>
      </c>
      <c r="D1563" s="148" t="s">
        <v>69</v>
      </c>
      <c r="E1563" s="148">
        <v>302157.57235986012</v>
      </c>
      <c r="F1563" t="s">
        <v>249</v>
      </c>
      <c r="G1563"/>
    </row>
    <row r="1564" spans="1:7" ht="15.75">
      <c r="A1564" t="str">
        <f t="shared" si="24"/>
        <v>MontpreveyresSolaireCHAUFF</v>
      </c>
      <c r="B1564" s="148">
        <v>5792</v>
      </c>
      <c r="C1564" s="148" t="s">
        <v>514</v>
      </c>
      <c r="D1564" s="148" t="s">
        <v>240</v>
      </c>
      <c r="E1564" s="148" t="e">
        <v>#N/A</v>
      </c>
      <c r="F1564" t="s">
        <v>249</v>
      </c>
      <c r="G1564"/>
    </row>
    <row r="1565" spans="1:7" ht="15.75">
      <c r="A1565" t="str">
        <f t="shared" si="24"/>
        <v>MontreuxAutre agent énergétiqueCHAUFF</v>
      </c>
      <c r="B1565" s="148">
        <v>5886</v>
      </c>
      <c r="C1565" s="148" t="s">
        <v>515</v>
      </c>
      <c r="D1565" s="148" t="s">
        <v>245</v>
      </c>
      <c r="E1565" s="148">
        <v>537262.35294118</v>
      </c>
      <c r="F1565" t="s">
        <v>249</v>
      </c>
      <c r="G1565"/>
    </row>
    <row r="1566" spans="1:7" ht="15.75">
      <c r="A1566" t="str">
        <f t="shared" si="24"/>
        <v>MontreuxBoisCHAUFF</v>
      </c>
      <c r="B1566" s="148">
        <v>5886</v>
      </c>
      <c r="C1566" s="148" t="s">
        <v>515</v>
      </c>
      <c r="D1566" s="148" t="s">
        <v>66</v>
      </c>
      <c r="E1566" s="148">
        <v>7513340.5611764882</v>
      </c>
      <c r="F1566" t="s">
        <v>249</v>
      </c>
      <c r="G1566"/>
    </row>
    <row r="1567" spans="1:7" ht="15.75">
      <c r="A1567" t="str">
        <f t="shared" si="24"/>
        <v>MontreuxCADCHAUFF</v>
      </c>
      <c r="B1567" s="148">
        <v>5886</v>
      </c>
      <c r="C1567" s="148" t="s">
        <v>515</v>
      </c>
      <c r="D1567" s="148" t="s">
        <v>242</v>
      </c>
      <c r="E1567" s="148">
        <v>7318821.3999999994</v>
      </c>
      <c r="F1567" t="s">
        <v>249</v>
      </c>
      <c r="G1567"/>
    </row>
    <row r="1568" spans="1:7" ht="15.75">
      <c r="A1568" t="str">
        <f t="shared" si="24"/>
        <v>MontreuxCharbonCHAUFF</v>
      </c>
      <c r="B1568" s="148">
        <v>5886</v>
      </c>
      <c r="C1568" s="148" t="s">
        <v>515</v>
      </c>
      <c r="D1568" s="148" t="s">
        <v>695</v>
      </c>
      <c r="E1568" s="148" t="e">
        <v>#N/A</v>
      </c>
      <c r="F1568" t="s">
        <v>249</v>
      </c>
      <c r="G1568"/>
    </row>
    <row r="1569" spans="1:7" ht="15.75">
      <c r="A1569" t="str">
        <f t="shared" si="24"/>
        <v>MontreuxElectricitéCHAUFF</v>
      </c>
      <c r="B1569" s="148">
        <v>5886</v>
      </c>
      <c r="C1569" s="148" t="s">
        <v>515</v>
      </c>
      <c r="D1569" s="148" t="s">
        <v>97</v>
      </c>
      <c r="E1569" s="148">
        <v>2554493.8709677299</v>
      </c>
      <c r="F1569" t="s">
        <v>249</v>
      </c>
      <c r="G1569"/>
    </row>
    <row r="1570" spans="1:7" ht="15.75">
      <c r="A1570" t="str">
        <f t="shared" si="24"/>
        <v>MontreuxGazCHAUFF</v>
      </c>
      <c r="B1570" s="148">
        <v>5886</v>
      </c>
      <c r="C1570" s="148" t="s">
        <v>515</v>
      </c>
      <c r="D1570" s="148" t="s">
        <v>239</v>
      </c>
      <c r="E1570" s="148">
        <v>170538195.30771488</v>
      </c>
      <c r="F1570" t="s">
        <v>249</v>
      </c>
      <c r="G1570"/>
    </row>
    <row r="1571" spans="1:7" ht="15.75">
      <c r="A1571" t="str">
        <f t="shared" si="24"/>
        <v>MontreuxMazoutCHAUFF</v>
      </c>
      <c r="B1571" s="148">
        <v>5886</v>
      </c>
      <c r="C1571" s="148" t="s">
        <v>515</v>
      </c>
      <c r="D1571" s="148" t="s">
        <v>70</v>
      </c>
      <c r="E1571" s="148">
        <v>106513054.35423416</v>
      </c>
      <c r="F1571" t="s">
        <v>249</v>
      </c>
      <c r="G1571"/>
    </row>
    <row r="1572" spans="1:7" ht="15.75">
      <c r="A1572" t="str">
        <f t="shared" si="24"/>
        <v>MontreuxNon renseignéCHAUFF</v>
      </c>
      <c r="B1572" s="148">
        <v>5886</v>
      </c>
      <c r="C1572" s="148" t="s">
        <v>515</v>
      </c>
      <c r="D1572" s="148" t="s">
        <v>696</v>
      </c>
      <c r="E1572" s="148">
        <v>0</v>
      </c>
      <c r="F1572" t="s">
        <v>249</v>
      </c>
      <c r="G1572"/>
    </row>
    <row r="1573" spans="1:7" ht="15.75">
      <c r="A1573" t="str">
        <f t="shared" si="24"/>
        <v>MontreuxPACCHAUFF</v>
      </c>
      <c r="B1573" s="148">
        <v>5886</v>
      </c>
      <c r="C1573" s="148" t="s">
        <v>515</v>
      </c>
      <c r="D1573" s="148" t="s">
        <v>69</v>
      </c>
      <c r="E1573" s="148">
        <v>1351012.2155524199</v>
      </c>
      <c r="F1573" t="s">
        <v>249</v>
      </c>
      <c r="G1573"/>
    </row>
    <row r="1574" spans="1:7" ht="15.75">
      <c r="A1574" t="str">
        <f t="shared" si="24"/>
        <v>MontreuxSolaireCHAUFF</v>
      </c>
      <c r="B1574" s="148">
        <v>5886</v>
      </c>
      <c r="C1574" s="148" t="s">
        <v>515</v>
      </c>
      <c r="D1574" s="148" t="s">
        <v>240</v>
      </c>
      <c r="E1574" s="148">
        <v>57111.200000000004</v>
      </c>
      <c r="F1574" t="s">
        <v>249</v>
      </c>
      <c r="G1574"/>
    </row>
    <row r="1575" spans="1:7" ht="15.75">
      <c r="A1575" t="str">
        <f t="shared" si="24"/>
        <v>MontricherAutre agent énergétiqueCHAUFF</v>
      </c>
      <c r="B1575" s="148">
        <v>5492</v>
      </c>
      <c r="C1575" s="148" t="s">
        <v>516</v>
      </c>
      <c r="D1575" s="148" t="s">
        <v>245</v>
      </c>
      <c r="E1575" s="148">
        <v>50598.588235300005</v>
      </c>
      <c r="F1575" t="s">
        <v>249</v>
      </c>
      <c r="G1575"/>
    </row>
    <row r="1576" spans="1:7" ht="15.75">
      <c r="A1576" t="str">
        <f t="shared" si="24"/>
        <v>MontricherBoisCHAUFF</v>
      </c>
      <c r="B1576" s="148">
        <v>5492</v>
      </c>
      <c r="C1576" s="148" t="s">
        <v>516</v>
      </c>
      <c r="D1576" s="148" t="s">
        <v>66</v>
      </c>
      <c r="E1576" s="148">
        <v>2714418.4392157006</v>
      </c>
      <c r="F1576" t="s">
        <v>249</v>
      </c>
      <c r="G1576"/>
    </row>
    <row r="1577" spans="1:7" ht="15.75">
      <c r="A1577" t="str">
        <f t="shared" si="24"/>
        <v>MontricherCADCHAUFF</v>
      </c>
      <c r="B1577" s="148">
        <v>5492</v>
      </c>
      <c r="C1577" s="148" t="s">
        <v>516</v>
      </c>
      <c r="D1577" s="148" t="s">
        <v>242</v>
      </c>
      <c r="E1577" s="148">
        <v>68026</v>
      </c>
      <c r="F1577" t="s">
        <v>249</v>
      </c>
      <c r="G1577"/>
    </row>
    <row r="1578" spans="1:7" ht="15.75">
      <c r="A1578" t="str">
        <f t="shared" si="24"/>
        <v>MontricherElectricitéCHAUFF</v>
      </c>
      <c r="B1578" s="148">
        <v>5492</v>
      </c>
      <c r="C1578" s="148" t="s">
        <v>516</v>
      </c>
      <c r="D1578" s="148" t="s">
        <v>97</v>
      </c>
      <c r="E1578" s="148">
        <v>1837439.3548386998</v>
      </c>
      <c r="F1578" t="s">
        <v>249</v>
      </c>
      <c r="G1578"/>
    </row>
    <row r="1579" spans="1:7" ht="15.75">
      <c r="A1579" t="str">
        <f t="shared" si="24"/>
        <v>MontricherGazCHAUFF</v>
      </c>
      <c r="B1579" s="148">
        <v>5492</v>
      </c>
      <c r="C1579" s="148" t="s">
        <v>516</v>
      </c>
      <c r="D1579" s="148" t="s">
        <v>239</v>
      </c>
      <c r="E1579" s="148">
        <v>3452601.9585139006</v>
      </c>
      <c r="F1579" t="s">
        <v>249</v>
      </c>
      <c r="G1579"/>
    </row>
    <row r="1580" spans="1:7" ht="15.75">
      <c r="A1580" t="str">
        <f t="shared" si="24"/>
        <v>MontricherMazoutCHAUFF</v>
      </c>
      <c r="B1580" s="148">
        <v>5492</v>
      </c>
      <c r="C1580" s="148" t="s">
        <v>516</v>
      </c>
      <c r="D1580" s="148" t="s">
        <v>70</v>
      </c>
      <c r="E1580" s="148">
        <v>5235464.7058823379</v>
      </c>
      <c r="F1580" t="s">
        <v>249</v>
      </c>
      <c r="G1580"/>
    </row>
    <row r="1581" spans="1:7" ht="15.75">
      <c r="A1581" t="str">
        <f t="shared" si="24"/>
        <v>MontricherNon renseignéCHAUFF</v>
      </c>
      <c r="B1581" s="148">
        <v>5492</v>
      </c>
      <c r="C1581" s="148" t="s">
        <v>516</v>
      </c>
      <c r="D1581" s="148" t="s">
        <v>696</v>
      </c>
      <c r="E1581" s="148">
        <v>0</v>
      </c>
      <c r="F1581" t="s">
        <v>249</v>
      </c>
      <c r="G1581"/>
    </row>
    <row r="1582" spans="1:7" ht="15.75">
      <c r="A1582" t="str">
        <f t="shared" si="24"/>
        <v>MontricherPACCHAUFF</v>
      </c>
      <c r="B1582" s="148">
        <v>5492</v>
      </c>
      <c r="C1582" s="148" t="s">
        <v>516</v>
      </c>
      <c r="D1582" s="148" t="s">
        <v>69</v>
      </c>
      <c r="E1582" s="148">
        <v>177718.32463769996</v>
      </c>
      <c r="F1582" t="s">
        <v>249</v>
      </c>
      <c r="G1582"/>
    </row>
    <row r="1583" spans="1:7" ht="15.75">
      <c r="A1583" t="str">
        <f t="shared" si="24"/>
        <v>MontricherSolaireCHAUFF</v>
      </c>
      <c r="B1583" s="148">
        <v>5492</v>
      </c>
      <c r="C1583" s="148" t="s">
        <v>516</v>
      </c>
      <c r="D1583" s="148" t="s">
        <v>240</v>
      </c>
      <c r="E1583" s="148" t="e">
        <v>#N/A</v>
      </c>
      <c r="F1583" t="s">
        <v>249</v>
      </c>
      <c r="G1583"/>
    </row>
    <row r="1584" spans="1:7" ht="15.75">
      <c r="A1584" t="str">
        <f t="shared" si="24"/>
        <v>MorgesAutre agent énergétiqueCHAUFF</v>
      </c>
      <c r="B1584" s="148">
        <v>5642</v>
      </c>
      <c r="C1584" s="148" t="s">
        <v>517</v>
      </c>
      <c r="D1584" s="148" t="s">
        <v>245</v>
      </c>
      <c r="E1584" s="148">
        <v>726703.2941176499</v>
      </c>
      <c r="F1584" t="s">
        <v>249</v>
      </c>
      <c r="G1584"/>
    </row>
    <row r="1585" spans="1:7" ht="15.75">
      <c r="A1585" t="str">
        <f t="shared" si="24"/>
        <v>MorgesBoisCHAUFF</v>
      </c>
      <c r="B1585" s="148">
        <v>5642</v>
      </c>
      <c r="C1585" s="148" t="s">
        <v>517</v>
      </c>
      <c r="D1585" s="148" t="s">
        <v>66</v>
      </c>
      <c r="E1585" s="148">
        <v>581488.53333331994</v>
      </c>
      <c r="F1585" t="s">
        <v>249</v>
      </c>
      <c r="G1585"/>
    </row>
    <row r="1586" spans="1:7" ht="15.75">
      <c r="A1586" t="str">
        <f t="shared" si="24"/>
        <v>MorgesCADCHAUFF</v>
      </c>
      <c r="B1586" s="148">
        <v>5642</v>
      </c>
      <c r="C1586" s="148" t="s">
        <v>517</v>
      </c>
      <c r="D1586" s="148" t="s">
        <v>242</v>
      </c>
      <c r="E1586" s="148">
        <v>1596886.5999999999</v>
      </c>
      <c r="F1586" t="s">
        <v>249</v>
      </c>
      <c r="G1586"/>
    </row>
    <row r="1587" spans="1:7" ht="15.75">
      <c r="A1587" t="str">
        <f t="shared" si="24"/>
        <v>MorgesElectricitéCHAUFF</v>
      </c>
      <c r="B1587" s="148">
        <v>5642</v>
      </c>
      <c r="C1587" s="148" t="s">
        <v>517</v>
      </c>
      <c r="D1587" s="148" t="s">
        <v>97</v>
      </c>
      <c r="E1587" s="148">
        <v>6079567.9569892399</v>
      </c>
      <c r="F1587" t="s">
        <v>249</v>
      </c>
      <c r="G1587"/>
    </row>
    <row r="1588" spans="1:7" ht="15.75">
      <c r="A1588" t="str">
        <f t="shared" si="24"/>
        <v>MorgesGazCHAUFF</v>
      </c>
      <c r="B1588" s="148">
        <v>5642</v>
      </c>
      <c r="C1588" s="148" t="s">
        <v>517</v>
      </c>
      <c r="D1588" s="148" t="s">
        <v>239</v>
      </c>
      <c r="E1588" s="148">
        <v>81525818.71888566</v>
      </c>
      <c r="F1588" t="s">
        <v>249</v>
      </c>
      <c r="G1588"/>
    </row>
    <row r="1589" spans="1:7" ht="15.75">
      <c r="A1589" t="str">
        <f t="shared" si="24"/>
        <v>MorgesMazoutCHAUFF</v>
      </c>
      <c r="B1589" s="148">
        <v>5642</v>
      </c>
      <c r="C1589" s="148" t="s">
        <v>517</v>
      </c>
      <c r="D1589" s="148" t="s">
        <v>70</v>
      </c>
      <c r="E1589" s="148">
        <v>39901084.294117697</v>
      </c>
      <c r="F1589" t="s">
        <v>249</v>
      </c>
      <c r="G1589"/>
    </row>
    <row r="1590" spans="1:7" ht="15.75">
      <c r="A1590" t="str">
        <f t="shared" si="24"/>
        <v>MorgesNon renseignéCHAUFF</v>
      </c>
      <c r="B1590" s="148">
        <v>5642</v>
      </c>
      <c r="C1590" s="148" t="s">
        <v>517</v>
      </c>
      <c r="D1590" s="148" t="s">
        <v>696</v>
      </c>
      <c r="E1590" s="148">
        <v>0</v>
      </c>
      <c r="F1590" t="s">
        <v>249</v>
      </c>
      <c r="G1590"/>
    </row>
    <row r="1591" spans="1:7" ht="15.75">
      <c r="A1591" t="str">
        <f t="shared" si="24"/>
        <v>MorgesPACCHAUFF</v>
      </c>
      <c r="B1591" s="148">
        <v>5642</v>
      </c>
      <c r="C1591" s="148" t="s">
        <v>517</v>
      </c>
      <c r="D1591" s="148" t="s">
        <v>69</v>
      </c>
      <c r="E1591" s="148">
        <v>876250.03996834008</v>
      </c>
      <c r="F1591" t="s">
        <v>249</v>
      </c>
      <c r="G1591"/>
    </row>
    <row r="1592" spans="1:7" ht="15.75">
      <c r="A1592" t="str">
        <f t="shared" si="24"/>
        <v>MorgesSolaireCHAUFF</v>
      </c>
      <c r="B1592" s="148">
        <v>5642</v>
      </c>
      <c r="C1592" s="148" t="s">
        <v>517</v>
      </c>
      <c r="D1592" s="148" t="s">
        <v>240</v>
      </c>
      <c r="E1592" s="148" t="e">
        <v>#N/A</v>
      </c>
      <c r="F1592" t="s">
        <v>249</v>
      </c>
      <c r="G1592"/>
    </row>
    <row r="1593" spans="1:7" ht="15.75">
      <c r="A1593" t="str">
        <f t="shared" si="24"/>
        <v>Morrens (VD)BoisCHAUFF</v>
      </c>
      <c r="B1593" s="148">
        <v>5527</v>
      </c>
      <c r="C1593" s="148" t="s">
        <v>627</v>
      </c>
      <c r="D1593" s="148" t="s">
        <v>66</v>
      </c>
      <c r="E1593" s="148">
        <v>648742.74117647996</v>
      </c>
      <c r="F1593" t="s">
        <v>249</v>
      </c>
      <c r="G1593"/>
    </row>
    <row r="1594" spans="1:7" ht="15.75">
      <c r="A1594" t="str">
        <f t="shared" si="24"/>
        <v>Morrens (VD)ElectricitéCHAUFF</v>
      </c>
      <c r="B1594" s="148">
        <v>5527</v>
      </c>
      <c r="C1594" s="148" t="s">
        <v>627</v>
      </c>
      <c r="D1594" s="148" t="s">
        <v>97</v>
      </c>
      <c r="E1594" s="148">
        <v>2314055.2688171901</v>
      </c>
      <c r="F1594" t="s">
        <v>249</v>
      </c>
      <c r="G1594"/>
    </row>
    <row r="1595" spans="1:7" ht="15.75">
      <c r="A1595" t="str">
        <f t="shared" si="24"/>
        <v>Morrens (VD)GazCHAUFF</v>
      </c>
      <c r="B1595" s="148">
        <v>5527</v>
      </c>
      <c r="C1595" s="148" t="s">
        <v>627</v>
      </c>
      <c r="D1595" s="148" t="s">
        <v>239</v>
      </c>
      <c r="E1595" s="148">
        <v>2521583.4476780207</v>
      </c>
      <c r="F1595" t="s">
        <v>249</v>
      </c>
      <c r="G1595"/>
    </row>
    <row r="1596" spans="1:7" ht="15.75">
      <c r="A1596" t="str">
        <f t="shared" si="24"/>
        <v>Morrens (VD)MazoutCHAUFF</v>
      </c>
      <c r="B1596" s="148">
        <v>5527</v>
      </c>
      <c r="C1596" s="148" t="s">
        <v>627</v>
      </c>
      <c r="D1596" s="148" t="s">
        <v>70</v>
      </c>
      <c r="E1596" s="148">
        <v>4206675.9411765095</v>
      </c>
      <c r="F1596" t="s">
        <v>249</v>
      </c>
      <c r="G1596"/>
    </row>
    <row r="1597" spans="1:7" ht="15.75">
      <c r="A1597" t="str">
        <f t="shared" si="24"/>
        <v>Morrens (VD)Non renseignéCHAUFF</v>
      </c>
      <c r="B1597" s="148">
        <v>5527</v>
      </c>
      <c r="C1597" s="148" t="s">
        <v>627</v>
      </c>
      <c r="D1597" s="148" t="s">
        <v>696</v>
      </c>
      <c r="E1597" s="148">
        <v>0</v>
      </c>
      <c r="F1597" t="s">
        <v>249</v>
      </c>
      <c r="G1597"/>
    </row>
    <row r="1598" spans="1:7" ht="15.75">
      <c r="A1598" t="str">
        <f t="shared" si="24"/>
        <v>Morrens (VD)PACCHAUFF</v>
      </c>
      <c r="B1598" s="148">
        <v>5527</v>
      </c>
      <c r="C1598" s="148" t="s">
        <v>627</v>
      </c>
      <c r="D1598" s="148" t="s">
        <v>69</v>
      </c>
      <c r="E1598" s="148">
        <v>391745.83397750003</v>
      </c>
      <c r="F1598" t="s">
        <v>249</v>
      </c>
      <c r="G1598"/>
    </row>
    <row r="1599" spans="1:7" ht="15.75">
      <c r="A1599" t="str">
        <f t="shared" si="24"/>
        <v>Morrens (VD)SolaireCHAUFF</v>
      </c>
      <c r="B1599" s="148">
        <v>5527</v>
      </c>
      <c r="C1599" s="148" t="s">
        <v>627</v>
      </c>
      <c r="D1599" s="148" t="s">
        <v>240</v>
      </c>
      <c r="E1599" s="148">
        <v>48098</v>
      </c>
      <c r="F1599" t="s">
        <v>249</v>
      </c>
      <c r="G1599"/>
    </row>
    <row r="1600" spans="1:7" ht="15.75">
      <c r="A1600" t="str">
        <f t="shared" si="24"/>
        <v>Morrens (VD)Autre agent énergétiqueCHAUFF</v>
      </c>
      <c r="B1600" s="148">
        <v>5527</v>
      </c>
      <c r="C1600" s="148" t="s">
        <v>627</v>
      </c>
      <c r="D1600" s="148" t="s">
        <v>245</v>
      </c>
      <c r="E1600" s="148" t="e">
        <v>#N/A</v>
      </c>
      <c r="F1600" t="s">
        <v>249</v>
      </c>
      <c r="G1600"/>
    </row>
    <row r="1601" spans="1:7" ht="15.75">
      <c r="A1601" t="str">
        <f t="shared" si="24"/>
        <v>MoudonBoisCHAUFF</v>
      </c>
      <c r="B1601" s="148">
        <v>5678</v>
      </c>
      <c r="C1601" s="148" t="s">
        <v>518</v>
      </c>
      <c r="D1601" s="148" t="s">
        <v>66</v>
      </c>
      <c r="E1601" s="148">
        <v>3886269.8486274392</v>
      </c>
      <c r="F1601" t="s">
        <v>249</v>
      </c>
      <c r="G1601"/>
    </row>
    <row r="1602" spans="1:7" ht="15.75">
      <c r="A1602" t="str">
        <f t="shared" si="24"/>
        <v>MoudonCADCHAUFF</v>
      </c>
      <c r="B1602" s="148">
        <v>5678</v>
      </c>
      <c r="C1602" s="148" t="s">
        <v>518</v>
      </c>
      <c r="D1602" s="148" t="s">
        <v>242</v>
      </c>
      <c r="E1602" s="148">
        <v>403734.39999999997</v>
      </c>
      <c r="F1602" t="s">
        <v>249</v>
      </c>
      <c r="G1602"/>
    </row>
    <row r="1603" spans="1:7" ht="15.75">
      <c r="A1603" t="str">
        <f t="shared" si="24"/>
        <v>MoudonElectricitéCHAUFF</v>
      </c>
      <c r="B1603" s="148">
        <v>5678</v>
      </c>
      <c r="C1603" s="148" t="s">
        <v>518</v>
      </c>
      <c r="D1603" s="148" t="s">
        <v>97</v>
      </c>
      <c r="E1603" s="148">
        <v>3923884.6774193505</v>
      </c>
      <c r="F1603" t="s">
        <v>249</v>
      </c>
      <c r="G1603"/>
    </row>
    <row r="1604" spans="1:7" ht="15.75">
      <c r="A1604" t="str">
        <f t="shared" si="24"/>
        <v>MoudonGazCHAUFF</v>
      </c>
      <c r="B1604" s="148">
        <v>5678</v>
      </c>
      <c r="C1604" s="148" t="s">
        <v>518</v>
      </c>
      <c r="D1604" s="148" t="s">
        <v>239</v>
      </c>
      <c r="E1604" s="148">
        <v>18296510.516666278</v>
      </c>
      <c r="F1604" t="s">
        <v>249</v>
      </c>
      <c r="G1604"/>
    </row>
    <row r="1605" spans="1:7" ht="15.75">
      <c r="A1605" t="str">
        <f t="shared" si="24"/>
        <v>MoudonMazoutCHAUFF</v>
      </c>
      <c r="B1605" s="148">
        <v>5678</v>
      </c>
      <c r="C1605" s="148" t="s">
        <v>518</v>
      </c>
      <c r="D1605" s="148" t="s">
        <v>70</v>
      </c>
      <c r="E1605" s="148">
        <v>29165887.729411837</v>
      </c>
      <c r="F1605" t="s">
        <v>249</v>
      </c>
      <c r="G1605"/>
    </row>
    <row r="1606" spans="1:7" ht="15.75">
      <c r="A1606" t="str">
        <f t="shared" si="24"/>
        <v>MoudonNon renseignéCHAUFF</v>
      </c>
      <c r="B1606" s="148">
        <v>5678</v>
      </c>
      <c r="C1606" s="148" t="s">
        <v>518</v>
      </c>
      <c r="D1606" s="148" t="s">
        <v>696</v>
      </c>
      <c r="E1606" s="148">
        <v>0</v>
      </c>
      <c r="F1606" t="s">
        <v>249</v>
      </c>
      <c r="G1606"/>
    </row>
    <row r="1607" spans="1:7" ht="15.75">
      <c r="A1607" t="str">
        <f t="shared" si="24"/>
        <v>MoudonPACCHAUFF</v>
      </c>
      <c r="B1607" s="148">
        <v>5678</v>
      </c>
      <c r="C1607" s="148" t="s">
        <v>518</v>
      </c>
      <c r="D1607" s="148" t="s">
        <v>69</v>
      </c>
      <c r="E1607" s="148">
        <v>536639.70544908009</v>
      </c>
      <c r="F1607" t="s">
        <v>249</v>
      </c>
      <c r="G1607"/>
    </row>
    <row r="1608" spans="1:7" ht="15.75">
      <c r="A1608" t="str">
        <f t="shared" si="24"/>
        <v>MoudonSolaireCHAUFF</v>
      </c>
      <c r="B1608" s="148">
        <v>5678</v>
      </c>
      <c r="C1608" s="148" t="s">
        <v>518</v>
      </c>
      <c r="D1608" s="148" t="s">
        <v>240</v>
      </c>
      <c r="E1608" s="148">
        <v>146289</v>
      </c>
      <c r="F1608" t="s">
        <v>249</v>
      </c>
      <c r="G1608"/>
    </row>
    <row r="1609" spans="1:7" ht="15.75">
      <c r="A1609" t="str">
        <f t="shared" si="24"/>
        <v>MoudonAutre agent énergétiqueCHAUFF</v>
      </c>
      <c r="B1609" s="148">
        <v>5678</v>
      </c>
      <c r="C1609" s="148" t="s">
        <v>518</v>
      </c>
      <c r="D1609" s="148" t="s">
        <v>245</v>
      </c>
      <c r="E1609" s="148" t="e">
        <v>#N/A</v>
      </c>
      <c r="F1609" t="s">
        <v>249</v>
      </c>
      <c r="G1609"/>
    </row>
    <row r="1610" spans="1:7" ht="15.75">
      <c r="A1610" t="str">
        <f t="shared" si="24"/>
        <v>MutruxBoisCHAUFF</v>
      </c>
      <c r="B1610" s="148">
        <v>5563</v>
      </c>
      <c r="C1610" s="148" t="s">
        <v>519</v>
      </c>
      <c r="D1610" s="148" t="s">
        <v>66</v>
      </c>
      <c r="E1610" s="148">
        <v>501401.60000001005</v>
      </c>
      <c r="F1610" t="s">
        <v>249</v>
      </c>
      <c r="G1610"/>
    </row>
    <row r="1611" spans="1:7" ht="15.75">
      <c r="A1611" t="str">
        <f t="shared" ref="A1611:A1674" si="25">_xlfn.CONCAT(C1611,D1611,F1611)</f>
        <v>MutruxCADCHAUFF</v>
      </c>
      <c r="B1611" s="148">
        <v>5563</v>
      </c>
      <c r="C1611" s="148" t="s">
        <v>519</v>
      </c>
      <c r="D1611" s="148" t="s">
        <v>242</v>
      </c>
      <c r="E1611" s="148">
        <v>99808.000000000015</v>
      </c>
      <c r="F1611" t="s">
        <v>249</v>
      </c>
      <c r="G1611"/>
    </row>
    <row r="1612" spans="1:7" ht="15.75">
      <c r="A1612" t="str">
        <f t="shared" si="25"/>
        <v>MutruxElectricitéCHAUFF</v>
      </c>
      <c r="B1612" s="148">
        <v>5563</v>
      </c>
      <c r="C1612" s="148" t="s">
        <v>519</v>
      </c>
      <c r="D1612" s="148" t="s">
        <v>97</v>
      </c>
      <c r="E1612" s="148">
        <v>77865.806451609998</v>
      </c>
      <c r="F1612" t="s">
        <v>249</v>
      </c>
      <c r="G1612"/>
    </row>
    <row r="1613" spans="1:7" ht="15.75">
      <c r="A1613" t="str">
        <f t="shared" si="25"/>
        <v>MutruxMazoutCHAUFF</v>
      </c>
      <c r="B1613" s="148">
        <v>5563</v>
      </c>
      <c r="C1613" s="148" t="s">
        <v>519</v>
      </c>
      <c r="D1613" s="148" t="s">
        <v>70</v>
      </c>
      <c r="E1613" s="148">
        <v>1771490.0000000098</v>
      </c>
      <c r="F1613" t="s">
        <v>249</v>
      </c>
      <c r="G1613"/>
    </row>
    <row r="1614" spans="1:7" ht="15.75">
      <c r="A1614" t="str">
        <f t="shared" si="25"/>
        <v>MutruxNon renseignéCHAUFF</v>
      </c>
      <c r="B1614" s="148">
        <v>5563</v>
      </c>
      <c r="C1614" s="148" t="s">
        <v>519</v>
      </c>
      <c r="D1614" s="148" t="s">
        <v>696</v>
      </c>
      <c r="E1614" s="148">
        <v>0</v>
      </c>
      <c r="F1614" t="s">
        <v>249</v>
      </c>
      <c r="G1614"/>
    </row>
    <row r="1615" spans="1:7" ht="15.75">
      <c r="A1615" t="str">
        <f t="shared" si="25"/>
        <v>MutruxPACCHAUFF</v>
      </c>
      <c r="B1615" s="148">
        <v>5563</v>
      </c>
      <c r="C1615" s="148" t="s">
        <v>519</v>
      </c>
      <c r="D1615" s="148" t="s">
        <v>69</v>
      </c>
      <c r="E1615" s="148">
        <v>7495.7037037</v>
      </c>
      <c r="F1615" t="s">
        <v>249</v>
      </c>
      <c r="G1615"/>
    </row>
    <row r="1616" spans="1:7" ht="15.75">
      <c r="A1616" t="str">
        <f t="shared" si="25"/>
        <v>MutruxSolaireCHAUFF</v>
      </c>
      <c r="B1616" s="148">
        <v>5563</v>
      </c>
      <c r="C1616" s="148" t="s">
        <v>519</v>
      </c>
      <c r="D1616" s="148" t="s">
        <v>240</v>
      </c>
      <c r="E1616" s="148" t="e">
        <v>#N/A</v>
      </c>
      <c r="F1616" t="s">
        <v>249</v>
      </c>
      <c r="G1616"/>
    </row>
    <row r="1617" spans="1:7" ht="15.75">
      <c r="A1617" t="str">
        <f t="shared" si="25"/>
        <v>NovallesBoisCHAUFF</v>
      </c>
      <c r="B1617" s="148">
        <v>5564</v>
      </c>
      <c r="C1617" s="148" t="s">
        <v>520</v>
      </c>
      <c r="D1617" s="148" t="s">
        <v>66</v>
      </c>
      <c r="E1617" s="148">
        <v>803587.85686275002</v>
      </c>
      <c r="F1617" t="s">
        <v>249</v>
      </c>
      <c r="G1617"/>
    </row>
    <row r="1618" spans="1:7" ht="15.75">
      <c r="A1618" t="str">
        <f t="shared" si="25"/>
        <v>NovallesElectricitéCHAUFF</v>
      </c>
      <c r="B1618" s="148">
        <v>5564</v>
      </c>
      <c r="C1618" s="148" t="s">
        <v>520</v>
      </c>
      <c r="D1618" s="148" t="s">
        <v>97</v>
      </c>
      <c r="E1618" s="148">
        <v>65156.129032259996</v>
      </c>
      <c r="F1618" t="s">
        <v>249</v>
      </c>
      <c r="G1618"/>
    </row>
    <row r="1619" spans="1:7" ht="15.75">
      <c r="A1619" t="str">
        <f t="shared" si="25"/>
        <v>NovallesMazoutCHAUFF</v>
      </c>
      <c r="B1619" s="148">
        <v>5564</v>
      </c>
      <c r="C1619" s="148" t="s">
        <v>520</v>
      </c>
      <c r="D1619" s="148" t="s">
        <v>70</v>
      </c>
      <c r="E1619" s="148">
        <v>1070705.41176471</v>
      </c>
      <c r="F1619" t="s">
        <v>249</v>
      </c>
      <c r="G1619"/>
    </row>
    <row r="1620" spans="1:7" ht="15.75">
      <c r="A1620" t="str">
        <f t="shared" si="25"/>
        <v>NovallesNon renseignéCHAUFF</v>
      </c>
      <c r="B1620" s="148">
        <v>5564</v>
      </c>
      <c r="C1620" s="148" t="s">
        <v>520</v>
      </c>
      <c r="D1620" s="148" t="s">
        <v>696</v>
      </c>
      <c r="E1620" s="148">
        <v>0</v>
      </c>
      <c r="F1620" t="s">
        <v>249</v>
      </c>
      <c r="G1620"/>
    </row>
    <row r="1621" spans="1:7" ht="15.75">
      <c r="A1621" t="str">
        <f t="shared" si="25"/>
        <v>NovallesPACCHAUFF</v>
      </c>
      <c r="B1621" s="148">
        <v>5564</v>
      </c>
      <c r="C1621" s="148" t="s">
        <v>520</v>
      </c>
      <c r="D1621" s="148" t="s">
        <v>69</v>
      </c>
      <c r="E1621" s="148">
        <v>23614.814814810001</v>
      </c>
      <c r="F1621" t="s">
        <v>249</v>
      </c>
      <c r="G1621"/>
    </row>
    <row r="1622" spans="1:7" ht="15.75">
      <c r="A1622" t="str">
        <f t="shared" si="25"/>
        <v>NovallesGazCHAUFF</v>
      </c>
      <c r="B1622" s="148">
        <v>5564</v>
      </c>
      <c r="C1622" s="148" t="s">
        <v>520</v>
      </c>
      <c r="D1622" s="148" t="s">
        <v>239</v>
      </c>
      <c r="E1622" s="148" t="e">
        <v>#N/A</v>
      </c>
      <c r="F1622" t="s">
        <v>249</v>
      </c>
      <c r="G1622"/>
    </row>
    <row r="1623" spans="1:7" ht="15.75">
      <c r="A1623" t="str">
        <f t="shared" si="25"/>
        <v>NovallesSolaireCHAUFF</v>
      </c>
      <c r="B1623" s="148">
        <v>5564</v>
      </c>
      <c r="C1623" s="148" t="s">
        <v>520</v>
      </c>
      <c r="D1623" s="148" t="s">
        <v>240</v>
      </c>
      <c r="E1623" s="148" t="e">
        <v>#N/A</v>
      </c>
      <c r="F1623" t="s">
        <v>249</v>
      </c>
      <c r="G1623"/>
    </row>
    <row r="1624" spans="1:7" ht="15.75">
      <c r="A1624" t="str">
        <f t="shared" si="25"/>
        <v>NovilleAutre agent énergétiqueCHAUFF</v>
      </c>
      <c r="B1624" s="148">
        <v>5408</v>
      </c>
      <c r="C1624" s="148" t="s">
        <v>521</v>
      </c>
      <c r="D1624" s="148" t="s">
        <v>245</v>
      </c>
      <c r="E1624" s="148">
        <v>27618.905370840002</v>
      </c>
      <c r="F1624" t="s">
        <v>249</v>
      </c>
      <c r="G1624"/>
    </row>
    <row r="1625" spans="1:7" ht="15.75">
      <c r="A1625" t="str">
        <f t="shared" si="25"/>
        <v>NovilleBoisCHAUFF</v>
      </c>
      <c r="B1625" s="148">
        <v>5408</v>
      </c>
      <c r="C1625" s="148" t="s">
        <v>521</v>
      </c>
      <c r="D1625" s="148" t="s">
        <v>66</v>
      </c>
      <c r="E1625" s="148">
        <v>652837.96078430011</v>
      </c>
      <c r="F1625" t="s">
        <v>249</v>
      </c>
      <c r="G1625"/>
    </row>
    <row r="1626" spans="1:7" ht="15.75">
      <c r="A1626" t="str">
        <f t="shared" si="25"/>
        <v>NovilleCADCHAUFF</v>
      </c>
      <c r="B1626" s="148">
        <v>5408</v>
      </c>
      <c r="C1626" s="148" t="s">
        <v>521</v>
      </c>
      <c r="D1626" s="148" t="s">
        <v>242</v>
      </c>
      <c r="E1626" s="148">
        <v>936857.20000000007</v>
      </c>
      <c r="F1626" t="s">
        <v>249</v>
      </c>
      <c r="G1626"/>
    </row>
    <row r="1627" spans="1:7" ht="15.75">
      <c r="A1627" t="str">
        <f t="shared" si="25"/>
        <v>NovilleElectricitéCHAUFF</v>
      </c>
      <c r="B1627" s="148">
        <v>5408</v>
      </c>
      <c r="C1627" s="148" t="s">
        <v>521</v>
      </c>
      <c r="D1627" s="148" t="s">
        <v>97</v>
      </c>
      <c r="E1627" s="148">
        <v>1055569.4086021502</v>
      </c>
      <c r="F1627" t="s">
        <v>249</v>
      </c>
      <c r="G1627"/>
    </row>
    <row r="1628" spans="1:7" ht="15.75">
      <c r="A1628" t="str">
        <f t="shared" si="25"/>
        <v>NovilleGazCHAUFF</v>
      </c>
      <c r="B1628" s="148">
        <v>5408</v>
      </c>
      <c r="C1628" s="148" t="s">
        <v>521</v>
      </c>
      <c r="D1628" s="148" t="s">
        <v>239</v>
      </c>
      <c r="E1628" s="148">
        <v>760503.80185758998</v>
      </c>
      <c r="F1628" t="s">
        <v>249</v>
      </c>
      <c r="G1628"/>
    </row>
    <row r="1629" spans="1:7" ht="15.75">
      <c r="A1629" t="str">
        <f t="shared" si="25"/>
        <v>NovilleMazoutCHAUFF</v>
      </c>
      <c r="B1629" s="148">
        <v>5408</v>
      </c>
      <c r="C1629" s="148" t="s">
        <v>521</v>
      </c>
      <c r="D1629" s="148" t="s">
        <v>70</v>
      </c>
      <c r="E1629" s="148">
        <v>5629863.8061919911</v>
      </c>
      <c r="F1629" t="s">
        <v>249</v>
      </c>
      <c r="G1629"/>
    </row>
    <row r="1630" spans="1:7" ht="15.75">
      <c r="A1630" t="str">
        <f t="shared" si="25"/>
        <v>NovilleNon renseignéCHAUFF</v>
      </c>
      <c r="B1630" s="148">
        <v>5408</v>
      </c>
      <c r="C1630" s="148" t="s">
        <v>521</v>
      </c>
      <c r="D1630" s="148" t="s">
        <v>696</v>
      </c>
      <c r="E1630" s="148">
        <v>0</v>
      </c>
      <c r="F1630" t="s">
        <v>249</v>
      </c>
      <c r="G1630"/>
    </row>
    <row r="1631" spans="1:7" ht="15.75">
      <c r="A1631" t="str">
        <f t="shared" si="25"/>
        <v>NovillePACCHAUFF</v>
      </c>
      <c r="B1631" s="148">
        <v>5408</v>
      </c>
      <c r="C1631" s="148" t="s">
        <v>521</v>
      </c>
      <c r="D1631" s="148" t="s">
        <v>69</v>
      </c>
      <c r="E1631" s="148">
        <v>709903.23655913013</v>
      </c>
      <c r="F1631" t="s">
        <v>249</v>
      </c>
      <c r="G1631"/>
    </row>
    <row r="1632" spans="1:7" ht="15.75">
      <c r="A1632" t="str">
        <f t="shared" si="25"/>
        <v>NovilleSolaireCHAUFF</v>
      </c>
      <c r="B1632" s="148">
        <v>5408</v>
      </c>
      <c r="C1632" s="148" t="s">
        <v>521</v>
      </c>
      <c r="D1632" s="148" t="s">
        <v>240</v>
      </c>
      <c r="E1632" s="148">
        <v>84962.6</v>
      </c>
      <c r="F1632" t="s">
        <v>249</v>
      </c>
      <c r="G1632"/>
    </row>
    <row r="1633" spans="1:7" ht="15.75">
      <c r="A1633" t="str">
        <f t="shared" si="25"/>
        <v>NyonAutre agent énergétiqueCHAUFF</v>
      </c>
      <c r="B1633" s="148">
        <v>5724</v>
      </c>
      <c r="C1633" s="148" t="s">
        <v>522</v>
      </c>
      <c r="D1633" s="148" t="s">
        <v>245</v>
      </c>
      <c r="E1633" s="148">
        <v>165491.29411765002</v>
      </c>
      <c r="F1633" t="s">
        <v>249</v>
      </c>
      <c r="G1633"/>
    </row>
    <row r="1634" spans="1:7" ht="15.75">
      <c r="A1634" t="str">
        <f t="shared" si="25"/>
        <v>NyonBoisCHAUFF</v>
      </c>
      <c r="B1634" s="148">
        <v>5724</v>
      </c>
      <c r="C1634" s="148" t="s">
        <v>522</v>
      </c>
      <c r="D1634" s="148" t="s">
        <v>66</v>
      </c>
      <c r="E1634" s="148">
        <v>7056916.0156862894</v>
      </c>
      <c r="F1634" t="s">
        <v>249</v>
      </c>
      <c r="G1634"/>
    </row>
    <row r="1635" spans="1:7" ht="15.75">
      <c r="A1635" t="str">
        <f t="shared" si="25"/>
        <v>NyonCADCHAUFF</v>
      </c>
      <c r="B1635" s="148">
        <v>5724</v>
      </c>
      <c r="C1635" s="148" t="s">
        <v>522</v>
      </c>
      <c r="D1635" s="148" t="s">
        <v>242</v>
      </c>
      <c r="E1635" s="148">
        <v>1861887.4</v>
      </c>
      <c r="F1635" t="s">
        <v>249</v>
      </c>
      <c r="G1635"/>
    </row>
    <row r="1636" spans="1:7" ht="15.75">
      <c r="A1636" t="str">
        <f t="shared" si="25"/>
        <v>NyonElectricitéCHAUFF</v>
      </c>
      <c r="B1636" s="148">
        <v>5724</v>
      </c>
      <c r="C1636" s="148" t="s">
        <v>522</v>
      </c>
      <c r="D1636" s="148" t="s">
        <v>97</v>
      </c>
      <c r="E1636" s="148">
        <v>2796795.6989247501</v>
      </c>
      <c r="F1636" t="s">
        <v>249</v>
      </c>
      <c r="G1636"/>
    </row>
    <row r="1637" spans="1:7" ht="15.75">
      <c r="A1637" t="str">
        <f t="shared" si="25"/>
        <v>NyonGazCHAUFF</v>
      </c>
      <c r="B1637" s="148">
        <v>5724</v>
      </c>
      <c r="C1637" s="148" t="s">
        <v>522</v>
      </c>
      <c r="D1637" s="148" t="s">
        <v>239</v>
      </c>
      <c r="E1637" s="148">
        <v>96460549.617461339</v>
      </c>
      <c r="F1637" t="s">
        <v>249</v>
      </c>
      <c r="G1637"/>
    </row>
    <row r="1638" spans="1:7" ht="15.75">
      <c r="A1638" t="str">
        <f t="shared" si="25"/>
        <v>NyonMazoutCHAUFF</v>
      </c>
      <c r="B1638" s="148">
        <v>5724</v>
      </c>
      <c r="C1638" s="148" t="s">
        <v>522</v>
      </c>
      <c r="D1638" s="148" t="s">
        <v>70</v>
      </c>
      <c r="E1638" s="148">
        <v>81361098.401552722</v>
      </c>
      <c r="F1638" t="s">
        <v>249</v>
      </c>
      <c r="G1638"/>
    </row>
    <row r="1639" spans="1:7" ht="15.75">
      <c r="A1639" t="str">
        <f t="shared" si="25"/>
        <v>NyonNon renseignéCHAUFF</v>
      </c>
      <c r="B1639" s="148">
        <v>5724</v>
      </c>
      <c r="C1639" s="148" t="s">
        <v>522</v>
      </c>
      <c r="D1639" s="148" t="s">
        <v>696</v>
      </c>
      <c r="E1639" s="148">
        <v>0</v>
      </c>
      <c r="F1639" t="s">
        <v>249</v>
      </c>
      <c r="G1639"/>
    </row>
    <row r="1640" spans="1:7" ht="15.75">
      <c r="A1640" t="str">
        <f t="shared" si="25"/>
        <v>NyonPACCHAUFF</v>
      </c>
      <c r="B1640" s="148">
        <v>5724</v>
      </c>
      <c r="C1640" s="148" t="s">
        <v>522</v>
      </c>
      <c r="D1640" s="148" t="s">
        <v>69</v>
      </c>
      <c r="E1640" s="148">
        <v>2454209.4075528299</v>
      </c>
      <c r="F1640" t="s">
        <v>249</v>
      </c>
      <c r="G1640"/>
    </row>
    <row r="1641" spans="1:7" ht="15.75">
      <c r="A1641" t="str">
        <f t="shared" si="25"/>
        <v>NyonSolaireCHAUFF</v>
      </c>
      <c r="B1641" s="148">
        <v>5724</v>
      </c>
      <c r="C1641" s="148" t="s">
        <v>522</v>
      </c>
      <c r="D1641" s="148" t="s">
        <v>240</v>
      </c>
      <c r="E1641" s="148">
        <v>186813</v>
      </c>
      <c r="F1641" t="s">
        <v>249</v>
      </c>
      <c r="G1641"/>
    </row>
    <row r="1642" spans="1:7" ht="15.75">
      <c r="A1642" t="str">
        <f t="shared" si="25"/>
        <v>OgensBoisCHAUFF</v>
      </c>
      <c r="B1642" s="148">
        <v>5680</v>
      </c>
      <c r="C1642" s="148" t="s">
        <v>523</v>
      </c>
      <c r="D1642" s="148" t="s">
        <v>66</v>
      </c>
      <c r="E1642" s="148">
        <v>889065.13568628009</v>
      </c>
      <c r="F1642" t="s">
        <v>249</v>
      </c>
      <c r="G1642"/>
    </row>
    <row r="1643" spans="1:7" ht="15.75">
      <c r="A1643" t="str">
        <f t="shared" si="25"/>
        <v>OgensCADCHAUFF</v>
      </c>
      <c r="B1643" s="148">
        <v>5680</v>
      </c>
      <c r="C1643" s="148" t="s">
        <v>523</v>
      </c>
      <c r="D1643" s="148" t="s">
        <v>242</v>
      </c>
      <c r="E1643" s="148">
        <v>5852</v>
      </c>
      <c r="F1643" t="s">
        <v>249</v>
      </c>
      <c r="G1643"/>
    </row>
    <row r="1644" spans="1:7" ht="15.75">
      <c r="A1644" t="str">
        <f t="shared" si="25"/>
        <v>OgensElectricitéCHAUFF</v>
      </c>
      <c r="B1644" s="148">
        <v>5680</v>
      </c>
      <c r="C1644" s="148" t="s">
        <v>523</v>
      </c>
      <c r="D1644" s="148" t="s">
        <v>97</v>
      </c>
      <c r="E1644" s="148">
        <v>200799.99999999002</v>
      </c>
      <c r="F1644" t="s">
        <v>249</v>
      </c>
      <c r="G1644"/>
    </row>
    <row r="1645" spans="1:7" ht="15.75">
      <c r="A1645" t="str">
        <f t="shared" si="25"/>
        <v>OgensGazCHAUFF</v>
      </c>
      <c r="B1645" s="148">
        <v>5680</v>
      </c>
      <c r="C1645" s="148" t="s">
        <v>523</v>
      </c>
      <c r="D1645" s="148" t="s">
        <v>239</v>
      </c>
      <c r="E1645" s="148">
        <v>1886266.4055727907</v>
      </c>
      <c r="F1645" t="s">
        <v>249</v>
      </c>
      <c r="G1645"/>
    </row>
    <row r="1646" spans="1:7" ht="15.75">
      <c r="A1646" t="str">
        <f t="shared" si="25"/>
        <v>OgensMazoutCHAUFF</v>
      </c>
      <c r="B1646" s="148">
        <v>5680</v>
      </c>
      <c r="C1646" s="148" t="s">
        <v>523</v>
      </c>
      <c r="D1646" s="148" t="s">
        <v>70</v>
      </c>
      <c r="E1646" s="148">
        <v>1312630.3529411901</v>
      </c>
      <c r="F1646" t="s">
        <v>249</v>
      </c>
      <c r="G1646"/>
    </row>
    <row r="1647" spans="1:7" ht="15.75">
      <c r="A1647" t="str">
        <f t="shared" si="25"/>
        <v>OgensNon renseignéCHAUFF</v>
      </c>
      <c r="B1647" s="148">
        <v>5680</v>
      </c>
      <c r="C1647" s="148" t="s">
        <v>523</v>
      </c>
      <c r="D1647" s="148" t="s">
        <v>696</v>
      </c>
      <c r="E1647" s="148">
        <v>0</v>
      </c>
      <c r="F1647" t="s">
        <v>249</v>
      </c>
      <c r="G1647"/>
    </row>
    <row r="1648" spans="1:7" ht="15.75">
      <c r="A1648" t="str">
        <f t="shared" si="25"/>
        <v>OgensPACCHAUFF</v>
      </c>
      <c r="B1648" s="148">
        <v>5680</v>
      </c>
      <c r="C1648" s="148" t="s">
        <v>523</v>
      </c>
      <c r="D1648" s="148" t="s">
        <v>69</v>
      </c>
      <c r="E1648" s="148">
        <v>67570.081803549998</v>
      </c>
      <c r="F1648" t="s">
        <v>249</v>
      </c>
      <c r="G1648"/>
    </row>
    <row r="1649" spans="1:7" ht="15.75">
      <c r="A1649" t="str">
        <f t="shared" si="25"/>
        <v>OgensSolaireCHAUFF</v>
      </c>
      <c r="B1649" s="148">
        <v>5680</v>
      </c>
      <c r="C1649" s="148" t="s">
        <v>523</v>
      </c>
      <c r="D1649" s="148" t="s">
        <v>240</v>
      </c>
      <c r="E1649" s="148" t="e">
        <v>#N/A</v>
      </c>
      <c r="F1649" t="s">
        <v>249</v>
      </c>
      <c r="G1649"/>
    </row>
    <row r="1650" spans="1:7" ht="15.75">
      <c r="A1650" t="str">
        <f t="shared" si="25"/>
        <v>OllonAutre agent énergétiqueCHAUFF</v>
      </c>
      <c r="B1650" s="148">
        <v>5409</v>
      </c>
      <c r="C1650" s="148" t="s">
        <v>524</v>
      </c>
      <c r="D1650" s="148" t="s">
        <v>245</v>
      </c>
      <c r="E1650" s="148">
        <v>6537.4117647100002</v>
      </c>
      <c r="F1650" t="s">
        <v>249</v>
      </c>
      <c r="G1650"/>
    </row>
    <row r="1651" spans="1:7" ht="15.75">
      <c r="A1651" t="str">
        <f t="shared" si="25"/>
        <v>OllonBoisCHAUFF</v>
      </c>
      <c r="B1651" s="148">
        <v>5409</v>
      </c>
      <c r="C1651" s="148" t="s">
        <v>524</v>
      </c>
      <c r="D1651" s="148" t="s">
        <v>66</v>
      </c>
      <c r="E1651" s="148">
        <v>9420009.5396078024</v>
      </c>
      <c r="F1651" t="s">
        <v>249</v>
      </c>
      <c r="G1651"/>
    </row>
    <row r="1652" spans="1:7" ht="15.75">
      <c r="A1652" t="str">
        <f t="shared" si="25"/>
        <v>OllonCADCHAUFF</v>
      </c>
      <c r="B1652" s="148">
        <v>5409</v>
      </c>
      <c r="C1652" s="148" t="s">
        <v>524</v>
      </c>
      <c r="D1652" s="148" t="s">
        <v>242</v>
      </c>
      <c r="E1652" s="148">
        <v>246272.52000000002</v>
      </c>
      <c r="F1652" t="s">
        <v>249</v>
      </c>
      <c r="G1652"/>
    </row>
    <row r="1653" spans="1:7" ht="15.75">
      <c r="A1653" t="str">
        <f t="shared" si="25"/>
        <v>OllonCharbonCHAUFF</v>
      </c>
      <c r="B1653" s="148">
        <v>5409</v>
      </c>
      <c r="C1653" s="148" t="s">
        <v>524</v>
      </c>
      <c r="D1653" s="148" t="s">
        <v>695</v>
      </c>
      <c r="E1653" s="148" t="e">
        <v>#N/A</v>
      </c>
      <c r="F1653" t="s">
        <v>249</v>
      </c>
      <c r="G1653"/>
    </row>
    <row r="1654" spans="1:7" ht="15.75">
      <c r="A1654" t="str">
        <f t="shared" si="25"/>
        <v>OllonElectricitéCHAUFF</v>
      </c>
      <c r="B1654" s="148">
        <v>5409</v>
      </c>
      <c r="C1654" s="148" t="s">
        <v>524</v>
      </c>
      <c r="D1654" s="148" t="s">
        <v>97</v>
      </c>
      <c r="E1654" s="148">
        <v>3416297.3225806099</v>
      </c>
      <c r="F1654" t="s">
        <v>249</v>
      </c>
      <c r="G1654"/>
    </row>
    <row r="1655" spans="1:7" ht="15.75">
      <c r="A1655" t="str">
        <f t="shared" si="25"/>
        <v>OllonGazCHAUFF</v>
      </c>
      <c r="B1655" s="148">
        <v>5409</v>
      </c>
      <c r="C1655" s="148" t="s">
        <v>524</v>
      </c>
      <c r="D1655" s="148" t="s">
        <v>239</v>
      </c>
      <c r="E1655" s="148">
        <v>73299264.806941733</v>
      </c>
      <c r="F1655" t="s">
        <v>249</v>
      </c>
      <c r="G1655"/>
    </row>
    <row r="1656" spans="1:7" ht="15.75">
      <c r="A1656" t="str">
        <f t="shared" si="25"/>
        <v>OllonMazoutCHAUFF</v>
      </c>
      <c r="B1656" s="148">
        <v>5409</v>
      </c>
      <c r="C1656" s="148" t="s">
        <v>524</v>
      </c>
      <c r="D1656" s="148" t="s">
        <v>70</v>
      </c>
      <c r="E1656" s="148">
        <v>51385314.850980587</v>
      </c>
      <c r="F1656" t="s">
        <v>249</v>
      </c>
      <c r="G1656"/>
    </row>
    <row r="1657" spans="1:7" ht="15.75">
      <c r="A1657" t="str">
        <f t="shared" si="25"/>
        <v>OllonNon renseignéCHAUFF</v>
      </c>
      <c r="B1657" s="148">
        <v>5409</v>
      </c>
      <c r="C1657" s="148" t="s">
        <v>524</v>
      </c>
      <c r="D1657" s="148" t="s">
        <v>696</v>
      </c>
      <c r="E1657" s="148">
        <v>0</v>
      </c>
      <c r="F1657" t="s">
        <v>249</v>
      </c>
      <c r="G1657"/>
    </row>
    <row r="1658" spans="1:7" ht="15.75">
      <c r="A1658" t="str">
        <f t="shared" si="25"/>
        <v>OllonPACCHAUFF</v>
      </c>
      <c r="B1658" s="148">
        <v>5409</v>
      </c>
      <c r="C1658" s="148" t="s">
        <v>524</v>
      </c>
      <c r="D1658" s="148" t="s">
        <v>69</v>
      </c>
      <c r="E1658" s="148">
        <v>1165138.5523720102</v>
      </c>
      <c r="F1658" t="s">
        <v>249</v>
      </c>
      <c r="G1658"/>
    </row>
    <row r="1659" spans="1:7" ht="15.75">
      <c r="A1659" t="str">
        <f t="shared" si="25"/>
        <v>OllonSolaireCHAUFF</v>
      </c>
      <c r="B1659" s="148">
        <v>5409</v>
      </c>
      <c r="C1659" s="148" t="s">
        <v>524</v>
      </c>
      <c r="D1659" s="148" t="s">
        <v>240</v>
      </c>
      <c r="E1659" s="148">
        <v>54838.400000000001</v>
      </c>
      <c r="F1659" t="s">
        <v>249</v>
      </c>
      <c r="G1659"/>
    </row>
    <row r="1660" spans="1:7" ht="15.75">
      <c r="A1660" t="str">
        <f t="shared" si="25"/>
        <v>OllonCHAUFF</v>
      </c>
      <c r="B1660" s="148">
        <v>5409</v>
      </c>
      <c r="C1660" s="148" t="s">
        <v>524</v>
      </c>
      <c r="E1660" s="148" t="e">
        <v>#N/A</v>
      </c>
      <c r="F1660" t="s">
        <v>249</v>
      </c>
      <c r="G1660"/>
    </row>
    <row r="1661" spans="1:7" ht="15.75">
      <c r="A1661" t="str">
        <f t="shared" si="25"/>
        <v>Onnens (VD)Autre agent énergétiqueCHAUFF</v>
      </c>
      <c r="B1661" s="148">
        <v>5565</v>
      </c>
      <c r="C1661" s="148" t="s">
        <v>626</v>
      </c>
      <c r="D1661" s="148" t="s">
        <v>245</v>
      </c>
      <c r="E1661" s="148">
        <v>37519.058823530002</v>
      </c>
      <c r="F1661" t="s">
        <v>249</v>
      </c>
      <c r="G1661"/>
    </row>
    <row r="1662" spans="1:7" ht="15.75">
      <c r="A1662" t="str">
        <f t="shared" si="25"/>
        <v>Onnens (VD)BoisCHAUFF</v>
      </c>
      <c r="B1662" s="148">
        <v>5565</v>
      </c>
      <c r="C1662" s="148" t="s">
        <v>626</v>
      </c>
      <c r="D1662" s="148" t="s">
        <v>66</v>
      </c>
      <c r="E1662" s="148">
        <v>910461.44313725992</v>
      </c>
      <c r="F1662" t="s">
        <v>249</v>
      </c>
      <c r="G1662"/>
    </row>
    <row r="1663" spans="1:7" ht="15.75">
      <c r="A1663" t="str">
        <f t="shared" si="25"/>
        <v>Onnens (VD)ElectricitéCHAUFF</v>
      </c>
      <c r="B1663" s="148">
        <v>5565</v>
      </c>
      <c r="C1663" s="148" t="s">
        <v>626</v>
      </c>
      <c r="D1663" s="148" t="s">
        <v>97</v>
      </c>
      <c r="E1663" s="148">
        <v>270367.09677419998</v>
      </c>
      <c r="F1663" t="s">
        <v>249</v>
      </c>
      <c r="G1663"/>
    </row>
    <row r="1664" spans="1:7" ht="15.75">
      <c r="A1664" t="str">
        <f t="shared" si="25"/>
        <v>Onnens (VD)GazCHAUFF</v>
      </c>
      <c r="B1664" s="148">
        <v>5565</v>
      </c>
      <c r="C1664" s="148" t="s">
        <v>626</v>
      </c>
      <c r="D1664" s="148" t="s">
        <v>239</v>
      </c>
      <c r="E1664" s="148">
        <v>70864.39628483</v>
      </c>
      <c r="F1664" t="s">
        <v>249</v>
      </c>
      <c r="G1664"/>
    </row>
    <row r="1665" spans="1:7" ht="15.75">
      <c r="A1665" t="str">
        <f t="shared" si="25"/>
        <v>Onnens (VD)MazoutCHAUFF</v>
      </c>
      <c r="B1665" s="148">
        <v>5565</v>
      </c>
      <c r="C1665" s="148" t="s">
        <v>626</v>
      </c>
      <c r="D1665" s="148" t="s">
        <v>70</v>
      </c>
      <c r="E1665" s="148">
        <v>3410640.7058823798</v>
      </c>
      <c r="F1665" t="s">
        <v>249</v>
      </c>
      <c r="G1665"/>
    </row>
    <row r="1666" spans="1:7" ht="15.75">
      <c r="A1666" t="str">
        <f t="shared" si="25"/>
        <v>Onnens (VD)Non renseignéCHAUFF</v>
      </c>
      <c r="B1666" s="148">
        <v>5565</v>
      </c>
      <c r="C1666" s="148" t="s">
        <v>626</v>
      </c>
      <c r="D1666" s="148" t="s">
        <v>696</v>
      </c>
      <c r="E1666" s="148">
        <v>0</v>
      </c>
      <c r="F1666" t="s">
        <v>249</v>
      </c>
      <c r="G1666"/>
    </row>
    <row r="1667" spans="1:7" ht="15.75">
      <c r="A1667" t="str">
        <f t="shared" si="25"/>
        <v>Onnens (VD)PACCHAUFF</v>
      </c>
      <c r="B1667" s="148">
        <v>5565</v>
      </c>
      <c r="C1667" s="148" t="s">
        <v>626</v>
      </c>
      <c r="D1667" s="148" t="s">
        <v>69</v>
      </c>
      <c r="E1667" s="148">
        <v>288369.31433691009</v>
      </c>
      <c r="F1667" t="s">
        <v>249</v>
      </c>
      <c r="G1667"/>
    </row>
    <row r="1668" spans="1:7" ht="15.75">
      <c r="A1668" t="str">
        <f t="shared" si="25"/>
        <v>Onnens (VD)SolaireCHAUFF</v>
      </c>
      <c r="B1668" s="148">
        <v>5565</v>
      </c>
      <c r="C1668" s="148" t="s">
        <v>626</v>
      </c>
      <c r="D1668" s="148" t="s">
        <v>240</v>
      </c>
      <c r="E1668" s="148" t="e">
        <v>#N/A</v>
      </c>
      <c r="F1668" t="s">
        <v>249</v>
      </c>
      <c r="G1668"/>
    </row>
    <row r="1669" spans="1:7" ht="15.75">
      <c r="A1669" t="str">
        <f t="shared" si="25"/>
        <v>OppensBoisCHAUFF</v>
      </c>
      <c r="B1669" s="148">
        <v>5923</v>
      </c>
      <c r="C1669" s="148" t="s">
        <v>525</v>
      </c>
      <c r="D1669" s="148" t="s">
        <v>66</v>
      </c>
      <c r="E1669" s="148">
        <v>1184358.13333333</v>
      </c>
      <c r="F1669" t="s">
        <v>249</v>
      </c>
      <c r="G1669"/>
    </row>
    <row r="1670" spans="1:7" ht="15.75">
      <c r="A1670" t="str">
        <f t="shared" si="25"/>
        <v>OppensCADCHAUFF</v>
      </c>
      <c r="B1670" s="148">
        <v>5923</v>
      </c>
      <c r="C1670" s="148" t="s">
        <v>525</v>
      </c>
      <c r="D1670" s="148" t="s">
        <v>242</v>
      </c>
      <c r="E1670" s="148">
        <v>50616</v>
      </c>
      <c r="F1670" t="s">
        <v>249</v>
      </c>
      <c r="G1670"/>
    </row>
    <row r="1671" spans="1:7" ht="15.75">
      <c r="A1671" t="str">
        <f t="shared" si="25"/>
        <v>OppensElectricitéCHAUFF</v>
      </c>
      <c r="B1671" s="148">
        <v>5923</v>
      </c>
      <c r="C1671" s="148" t="s">
        <v>525</v>
      </c>
      <c r="D1671" s="148" t="s">
        <v>97</v>
      </c>
      <c r="E1671" s="148">
        <v>349186.23655914003</v>
      </c>
      <c r="F1671" t="s">
        <v>249</v>
      </c>
      <c r="G1671"/>
    </row>
    <row r="1672" spans="1:7" ht="15.75">
      <c r="A1672" t="str">
        <f t="shared" si="25"/>
        <v>OppensGazCHAUFF</v>
      </c>
      <c r="B1672" s="148">
        <v>5923</v>
      </c>
      <c r="C1672" s="148" t="s">
        <v>525</v>
      </c>
      <c r="D1672" s="148" t="s">
        <v>239</v>
      </c>
      <c r="E1672" s="148">
        <v>276047.05882352998</v>
      </c>
      <c r="F1672" t="s">
        <v>249</v>
      </c>
      <c r="G1672"/>
    </row>
    <row r="1673" spans="1:7" ht="15.75">
      <c r="A1673" t="str">
        <f t="shared" si="25"/>
        <v>OppensMazoutCHAUFF</v>
      </c>
      <c r="B1673" s="148">
        <v>5923</v>
      </c>
      <c r="C1673" s="148" t="s">
        <v>525</v>
      </c>
      <c r="D1673" s="148" t="s">
        <v>70</v>
      </c>
      <c r="E1673" s="148">
        <v>2208697.9882353097</v>
      </c>
      <c r="F1673" t="s">
        <v>249</v>
      </c>
      <c r="G1673"/>
    </row>
    <row r="1674" spans="1:7" ht="15.75">
      <c r="A1674" t="str">
        <f t="shared" si="25"/>
        <v>OppensNon renseignéCHAUFF</v>
      </c>
      <c r="B1674" s="148">
        <v>5923</v>
      </c>
      <c r="C1674" s="148" t="s">
        <v>525</v>
      </c>
      <c r="D1674" s="148" t="s">
        <v>696</v>
      </c>
      <c r="E1674" s="148">
        <v>0</v>
      </c>
      <c r="F1674" t="s">
        <v>249</v>
      </c>
      <c r="G1674"/>
    </row>
    <row r="1675" spans="1:7" ht="15.75">
      <c r="A1675" t="str">
        <f t="shared" ref="A1675:A1738" si="26">_xlfn.CONCAT(C1675,D1675,F1675)</f>
        <v>OppensPACCHAUFF</v>
      </c>
      <c r="B1675" s="148">
        <v>5923</v>
      </c>
      <c r="C1675" s="148" t="s">
        <v>525</v>
      </c>
      <c r="D1675" s="148" t="s">
        <v>69</v>
      </c>
      <c r="E1675" s="148">
        <v>71843.663082450003</v>
      </c>
      <c r="F1675" t="s">
        <v>249</v>
      </c>
      <c r="G1675"/>
    </row>
    <row r="1676" spans="1:7" ht="15.75">
      <c r="A1676" t="str">
        <f t="shared" si="26"/>
        <v>OppensSolaireCHAUFF</v>
      </c>
      <c r="B1676" s="148">
        <v>5923</v>
      </c>
      <c r="C1676" s="148" t="s">
        <v>525</v>
      </c>
      <c r="D1676" s="148" t="s">
        <v>240</v>
      </c>
      <c r="E1676" s="148">
        <v>12844</v>
      </c>
      <c r="F1676" t="s">
        <v>249</v>
      </c>
      <c r="G1676"/>
    </row>
    <row r="1677" spans="1:7" ht="15.75">
      <c r="A1677" t="str">
        <f t="shared" si="26"/>
        <v>OrbeAutre agent énergétiqueCHAUFF</v>
      </c>
      <c r="B1677" s="148">
        <v>5757</v>
      </c>
      <c r="C1677" s="148" t="s">
        <v>526</v>
      </c>
      <c r="D1677" s="148" t="s">
        <v>245</v>
      </c>
      <c r="E1677" s="148">
        <v>85807.058823529995</v>
      </c>
      <c r="F1677" t="s">
        <v>249</v>
      </c>
      <c r="G1677"/>
    </row>
    <row r="1678" spans="1:7" ht="15.75">
      <c r="A1678" t="str">
        <f t="shared" si="26"/>
        <v>OrbeBoisCHAUFF</v>
      </c>
      <c r="B1678" s="148">
        <v>5757</v>
      </c>
      <c r="C1678" s="148" t="s">
        <v>526</v>
      </c>
      <c r="D1678" s="148" t="s">
        <v>66</v>
      </c>
      <c r="E1678" s="148">
        <v>2232251.5247058906</v>
      </c>
      <c r="F1678" t="s">
        <v>249</v>
      </c>
      <c r="G1678"/>
    </row>
    <row r="1679" spans="1:7" ht="15.75">
      <c r="A1679" t="str">
        <f t="shared" si="26"/>
        <v>OrbeCADCHAUFF</v>
      </c>
      <c r="B1679" s="148">
        <v>5757</v>
      </c>
      <c r="C1679" s="148" t="s">
        <v>526</v>
      </c>
      <c r="D1679" s="148" t="s">
        <v>242</v>
      </c>
      <c r="E1679" s="148">
        <v>1211468</v>
      </c>
      <c r="F1679" t="s">
        <v>249</v>
      </c>
      <c r="G1679"/>
    </row>
    <row r="1680" spans="1:7" ht="15.75">
      <c r="A1680" t="str">
        <f t="shared" si="26"/>
        <v>OrbeElectricitéCHAUFF</v>
      </c>
      <c r="B1680" s="148">
        <v>5757</v>
      </c>
      <c r="C1680" s="148" t="s">
        <v>526</v>
      </c>
      <c r="D1680" s="148" t="s">
        <v>97</v>
      </c>
      <c r="E1680" s="148">
        <v>4131596.2365592094</v>
      </c>
      <c r="F1680" t="s">
        <v>249</v>
      </c>
      <c r="G1680"/>
    </row>
    <row r="1681" spans="1:7" ht="15.75">
      <c r="A1681" t="str">
        <f t="shared" si="26"/>
        <v>OrbeGazCHAUFF</v>
      </c>
      <c r="B1681" s="148">
        <v>5757</v>
      </c>
      <c r="C1681" s="148" t="s">
        <v>526</v>
      </c>
      <c r="D1681" s="148" t="s">
        <v>239</v>
      </c>
      <c r="E1681" s="148">
        <v>38621747.428730637</v>
      </c>
      <c r="F1681" t="s">
        <v>249</v>
      </c>
      <c r="G1681"/>
    </row>
    <row r="1682" spans="1:7" ht="15.75">
      <c r="A1682" t="str">
        <f t="shared" si="26"/>
        <v>OrbeMazoutCHAUFF</v>
      </c>
      <c r="B1682" s="148">
        <v>5757</v>
      </c>
      <c r="C1682" s="148" t="s">
        <v>526</v>
      </c>
      <c r="D1682" s="148" t="s">
        <v>70</v>
      </c>
      <c r="E1682" s="148">
        <v>20068111.655462224</v>
      </c>
      <c r="F1682" t="s">
        <v>249</v>
      </c>
      <c r="G1682"/>
    </row>
    <row r="1683" spans="1:7" ht="15.75">
      <c r="A1683" t="str">
        <f t="shared" si="26"/>
        <v>OrbeNon renseignéCHAUFF</v>
      </c>
      <c r="B1683" s="148">
        <v>5757</v>
      </c>
      <c r="C1683" s="148" t="s">
        <v>526</v>
      </c>
      <c r="D1683" s="148" t="s">
        <v>696</v>
      </c>
      <c r="E1683" s="148">
        <v>0</v>
      </c>
      <c r="F1683" t="s">
        <v>249</v>
      </c>
      <c r="G1683"/>
    </row>
    <row r="1684" spans="1:7" ht="15.75">
      <c r="A1684" t="str">
        <f t="shared" si="26"/>
        <v>OrbePACCHAUFF</v>
      </c>
      <c r="B1684" s="148">
        <v>5757</v>
      </c>
      <c r="C1684" s="148" t="s">
        <v>526</v>
      </c>
      <c r="D1684" s="148" t="s">
        <v>69</v>
      </c>
      <c r="E1684" s="148">
        <v>578967.61191553983</v>
      </c>
      <c r="F1684" t="s">
        <v>249</v>
      </c>
      <c r="G1684"/>
    </row>
    <row r="1685" spans="1:7" ht="15.75">
      <c r="A1685" t="str">
        <f t="shared" si="26"/>
        <v>OrbeSolaireCHAUFF</v>
      </c>
      <c r="B1685" s="148">
        <v>5757</v>
      </c>
      <c r="C1685" s="148" t="s">
        <v>526</v>
      </c>
      <c r="D1685" s="148" t="s">
        <v>240</v>
      </c>
      <c r="E1685" s="148" t="e">
        <v>#N/A</v>
      </c>
      <c r="F1685" t="s">
        <v>249</v>
      </c>
      <c r="G1685"/>
    </row>
    <row r="1686" spans="1:7" ht="15.75">
      <c r="A1686" t="str">
        <f t="shared" si="26"/>
        <v>OrgesAutre agent énergétiqueCHAUFF</v>
      </c>
      <c r="B1686" s="148">
        <v>5924</v>
      </c>
      <c r="C1686" s="148" t="s">
        <v>527</v>
      </c>
      <c r="D1686" s="148" t="s">
        <v>245</v>
      </c>
      <c r="E1686" s="148">
        <v>178749.17647059</v>
      </c>
      <c r="F1686" t="s">
        <v>249</v>
      </c>
      <c r="G1686"/>
    </row>
    <row r="1687" spans="1:7" ht="15.75">
      <c r="A1687" t="str">
        <f t="shared" si="26"/>
        <v>OrgesBoisCHAUFF</v>
      </c>
      <c r="B1687" s="148">
        <v>5924</v>
      </c>
      <c r="C1687" s="148" t="s">
        <v>527</v>
      </c>
      <c r="D1687" s="148" t="s">
        <v>66</v>
      </c>
      <c r="E1687" s="148">
        <v>1030288.06588235</v>
      </c>
      <c r="F1687" t="s">
        <v>249</v>
      </c>
      <c r="G1687"/>
    </row>
    <row r="1688" spans="1:7" ht="15.75">
      <c r="A1688" t="str">
        <f t="shared" si="26"/>
        <v>OrgesElectricitéCHAUFF</v>
      </c>
      <c r="B1688" s="148">
        <v>5924</v>
      </c>
      <c r="C1688" s="148" t="s">
        <v>527</v>
      </c>
      <c r="D1688" s="148" t="s">
        <v>97</v>
      </c>
      <c r="E1688" s="148">
        <v>315325.05376343994</v>
      </c>
      <c r="F1688" t="s">
        <v>249</v>
      </c>
      <c r="G1688"/>
    </row>
    <row r="1689" spans="1:7" ht="15.75">
      <c r="A1689" t="str">
        <f t="shared" si="26"/>
        <v>OrgesGazCHAUFF</v>
      </c>
      <c r="B1689" s="148">
        <v>5924</v>
      </c>
      <c r="C1689" s="148" t="s">
        <v>527</v>
      </c>
      <c r="D1689" s="148" t="s">
        <v>239</v>
      </c>
      <c r="E1689" s="148">
        <v>82334.464396290001</v>
      </c>
      <c r="F1689" t="s">
        <v>249</v>
      </c>
      <c r="G1689"/>
    </row>
    <row r="1690" spans="1:7" ht="15.75">
      <c r="A1690" t="str">
        <f t="shared" si="26"/>
        <v>OrgesMazoutCHAUFF</v>
      </c>
      <c r="B1690" s="148">
        <v>5924</v>
      </c>
      <c r="C1690" s="148" t="s">
        <v>527</v>
      </c>
      <c r="D1690" s="148" t="s">
        <v>70</v>
      </c>
      <c r="E1690" s="148">
        <v>2228396.3176470799</v>
      </c>
      <c r="F1690" t="s">
        <v>249</v>
      </c>
      <c r="G1690"/>
    </row>
    <row r="1691" spans="1:7" ht="15.75">
      <c r="A1691" t="str">
        <f t="shared" si="26"/>
        <v>OrgesNon renseignéCHAUFF</v>
      </c>
      <c r="B1691" s="148">
        <v>5924</v>
      </c>
      <c r="C1691" s="148" t="s">
        <v>527</v>
      </c>
      <c r="D1691" s="148" t="s">
        <v>696</v>
      </c>
      <c r="E1691" s="148">
        <v>0</v>
      </c>
      <c r="F1691" t="s">
        <v>249</v>
      </c>
      <c r="G1691"/>
    </row>
    <row r="1692" spans="1:7" ht="15.75">
      <c r="A1692" t="str">
        <f t="shared" si="26"/>
        <v>OrgesPACCHAUFF</v>
      </c>
      <c r="B1692" s="148">
        <v>5924</v>
      </c>
      <c r="C1692" s="148" t="s">
        <v>527</v>
      </c>
      <c r="D1692" s="148" t="s">
        <v>69</v>
      </c>
      <c r="E1692" s="148">
        <v>136876.66666668002</v>
      </c>
      <c r="F1692" t="s">
        <v>249</v>
      </c>
      <c r="G1692"/>
    </row>
    <row r="1693" spans="1:7" ht="15.75">
      <c r="A1693" t="str">
        <f t="shared" si="26"/>
        <v>OrgesSolaireCHAUFF</v>
      </c>
      <c r="B1693" s="148">
        <v>5924</v>
      </c>
      <c r="C1693" s="148" t="s">
        <v>527</v>
      </c>
      <c r="D1693" s="148" t="s">
        <v>240</v>
      </c>
      <c r="E1693" s="148" t="e">
        <v>#N/A</v>
      </c>
      <c r="F1693" t="s">
        <v>249</v>
      </c>
      <c r="G1693"/>
    </row>
    <row r="1694" spans="1:7" ht="15.75">
      <c r="A1694" t="str">
        <f t="shared" si="26"/>
        <v>Ormont-DessousAutre agent énergétiqueCHAUFF</v>
      </c>
      <c r="B1694" s="148">
        <v>5410</v>
      </c>
      <c r="C1694" s="148" t="s">
        <v>528</v>
      </c>
      <c r="D1694" s="148" t="s">
        <v>245</v>
      </c>
      <c r="E1694" s="148">
        <v>103792.47058825</v>
      </c>
      <c r="F1694" t="s">
        <v>249</v>
      </c>
      <c r="G1694"/>
    </row>
    <row r="1695" spans="1:7" ht="15.75">
      <c r="A1695" t="str">
        <f t="shared" si="26"/>
        <v>Ormont-DessousBoisCHAUFF</v>
      </c>
      <c r="B1695" s="148">
        <v>5410</v>
      </c>
      <c r="C1695" s="148" t="s">
        <v>528</v>
      </c>
      <c r="D1695" s="148" t="s">
        <v>66</v>
      </c>
      <c r="E1695" s="148">
        <v>11530326.472156808</v>
      </c>
      <c r="F1695" t="s">
        <v>249</v>
      </c>
      <c r="G1695"/>
    </row>
    <row r="1696" spans="1:7" ht="15.75">
      <c r="A1696" t="str">
        <f t="shared" si="26"/>
        <v>Ormont-DessousCADCHAUFF</v>
      </c>
      <c r="B1696" s="148">
        <v>5410</v>
      </c>
      <c r="C1696" s="148" t="s">
        <v>528</v>
      </c>
      <c r="D1696" s="148" t="s">
        <v>242</v>
      </c>
      <c r="E1696" s="148">
        <v>16686.400000000001</v>
      </c>
      <c r="F1696" t="s">
        <v>249</v>
      </c>
      <c r="G1696"/>
    </row>
    <row r="1697" spans="1:7" ht="15.75">
      <c r="A1697" t="str">
        <f t="shared" si="26"/>
        <v>Ormont-DessousCharbonCHAUFF</v>
      </c>
      <c r="B1697" s="148">
        <v>5410</v>
      </c>
      <c r="C1697" s="148" t="s">
        <v>528</v>
      </c>
      <c r="D1697" s="148" t="s">
        <v>695</v>
      </c>
      <c r="E1697" s="148" t="e">
        <v>#N/A</v>
      </c>
      <c r="F1697" t="s">
        <v>249</v>
      </c>
      <c r="G1697"/>
    </row>
    <row r="1698" spans="1:7" ht="15.75">
      <c r="A1698" t="str">
        <f t="shared" si="26"/>
        <v>Ormont-DessousElectricitéCHAUFF</v>
      </c>
      <c r="B1698" s="148">
        <v>5410</v>
      </c>
      <c r="C1698" s="148" t="s">
        <v>528</v>
      </c>
      <c r="D1698" s="148" t="s">
        <v>97</v>
      </c>
      <c r="E1698" s="148">
        <v>1998753.8064515803</v>
      </c>
      <c r="F1698" t="s">
        <v>249</v>
      </c>
      <c r="G1698"/>
    </row>
    <row r="1699" spans="1:7" ht="15.75">
      <c r="A1699" t="str">
        <f t="shared" si="26"/>
        <v>Ormont-DessousGazCHAUFF</v>
      </c>
      <c r="B1699" s="148">
        <v>5410</v>
      </c>
      <c r="C1699" s="148" t="s">
        <v>528</v>
      </c>
      <c r="D1699" s="148" t="s">
        <v>239</v>
      </c>
      <c r="E1699" s="148">
        <v>80358.674922599996</v>
      </c>
      <c r="F1699" t="s">
        <v>249</v>
      </c>
      <c r="G1699"/>
    </row>
    <row r="1700" spans="1:7" ht="15.75">
      <c r="A1700" t="str">
        <f t="shared" si="26"/>
        <v>Ormont-DessousMazoutCHAUFF</v>
      </c>
      <c r="B1700" s="148">
        <v>5410</v>
      </c>
      <c r="C1700" s="148" t="s">
        <v>528</v>
      </c>
      <c r="D1700" s="148" t="s">
        <v>70</v>
      </c>
      <c r="E1700" s="148">
        <v>12183345.788235206</v>
      </c>
      <c r="F1700" t="s">
        <v>249</v>
      </c>
      <c r="G1700"/>
    </row>
    <row r="1701" spans="1:7" ht="15.75">
      <c r="A1701" t="str">
        <f t="shared" si="26"/>
        <v>Ormont-DessousNon renseignéCHAUFF</v>
      </c>
      <c r="B1701" s="148">
        <v>5410</v>
      </c>
      <c r="C1701" s="148" t="s">
        <v>528</v>
      </c>
      <c r="D1701" s="148" t="s">
        <v>696</v>
      </c>
      <c r="E1701" s="148">
        <v>0</v>
      </c>
      <c r="F1701" t="s">
        <v>249</v>
      </c>
      <c r="G1701"/>
    </row>
    <row r="1702" spans="1:7" ht="15.75">
      <c r="A1702" t="str">
        <f t="shared" si="26"/>
        <v>Ormont-DessousPACCHAUFF</v>
      </c>
      <c r="B1702" s="148">
        <v>5410</v>
      </c>
      <c r="C1702" s="148" t="s">
        <v>528</v>
      </c>
      <c r="D1702" s="148" t="s">
        <v>69</v>
      </c>
      <c r="E1702" s="148">
        <v>82412.592592600005</v>
      </c>
      <c r="F1702" t="s">
        <v>249</v>
      </c>
      <c r="G1702"/>
    </row>
    <row r="1703" spans="1:7" ht="15.75">
      <c r="A1703" t="str">
        <f t="shared" si="26"/>
        <v>Ormont-DessousSolaireCHAUFF</v>
      </c>
      <c r="B1703" s="148">
        <v>5410</v>
      </c>
      <c r="C1703" s="148" t="s">
        <v>528</v>
      </c>
      <c r="D1703" s="148" t="s">
        <v>240</v>
      </c>
      <c r="E1703" s="148">
        <v>22555.599999999999</v>
      </c>
      <c r="F1703" t="s">
        <v>249</v>
      </c>
      <c r="G1703"/>
    </row>
    <row r="1704" spans="1:7" ht="15.75">
      <c r="A1704" t="str">
        <f t="shared" si="26"/>
        <v>Ormont-DessusAutre agent énergétiqueCHAUFF</v>
      </c>
      <c r="B1704" s="148">
        <v>5411</v>
      </c>
      <c r="C1704" s="148" t="s">
        <v>529</v>
      </c>
      <c r="D1704" s="148" t="s">
        <v>245</v>
      </c>
      <c r="E1704" s="148">
        <v>43881.411764709999</v>
      </c>
      <c r="F1704" t="s">
        <v>249</v>
      </c>
      <c r="G1704"/>
    </row>
    <row r="1705" spans="1:7" ht="15.75">
      <c r="A1705" t="str">
        <f t="shared" si="26"/>
        <v>Ormont-DessusBoisCHAUFF</v>
      </c>
      <c r="B1705" s="148">
        <v>5411</v>
      </c>
      <c r="C1705" s="148" t="s">
        <v>529</v>
      </c>
      <c r="D1705" s="148" t="s">
        <v>66</v>
      </c>
      <c r="E1705" s="148">
        <v>9690165.6635293886</v>
      </c>
      <c r="F1705" t="s">
        <v>249</v>
      </c>
      <c r="G1705"/>
    </row>
    <row r="1706" spans="1:7" ht="15.75">
      <c r="A1706" t="str">
        <f t="shared" si="26"/>
        <v>Ormont-DessusCADCHAUFF</v>
      </c>
      <c r="B1706" s="148">
        <v>5411</v>
      </c>
      <c r="C1706" s="148" t="s">
        <v>529</v>
      </c>
      <c r="D1706" s="148" t="s">
        <v>242</v>
      </c>
      <c r="E1706" s="148">
        <v>1590500.2899999998</v>
      </c>
      <c r="F1706" t="s">
        <v>249</v>
      </c>
      <c r="G1706"/>
    </row>
    <row r="1707" spans="1:7" ht="15.75">
      <c r="A1707" t="str">
        <f t="shared" si="26"/>
        <v>Ormont-DessusElectricitéCHAUFF</v>
      </c>
      <c r="B1707" s="148">
        <v>5411</v>
      </c>
      <c r="C1707" s="148" t="s">
        <v>529</v>
      </c>
      <c r="D1707" s="148" t="s">
        <v>97</v>
      </c>
      <c r="E1707" s="148">
        <v>3899291.1290322691</v>
      </c>
      <c r="F1707" t="s">
        <v>249</v>
      </c>
      <c r="G1707"/>
    </row>
    <row r="1708" spans="1:7" ht="15.75">
      <c r="A1708" t="str">
        <f t="shared" si="26"/>
        <v>Ormont-DessusGazCHAUFF</v>
      </c>
      <c r="B1708" s="148">
        <v>5411</v>
      </c>
      <c r="C1708" s="148" t="s">
        <v>529</v>
      </c>
      <c r="D1708" s="148" t="s">
        <v>239</v>
      </c>
      <c r="E1708" s="148">
        <v>173380.95356037002</v>
      </c>
      <c r="F1708" t="s">
        <v>249</v>
      </c>
      <c r="G1708"/>
    </row>
    <row r="1709" spans="1:7" ht="15.75">
      <c r="A1709" t="str">
        <f t="shared" si="26"/>
        <v>Ormont-DessusMazoutCHAUFF</v>
      </c>
      <c r="B1709" s="148">
        <v>5411</v>
      </c>
      <c r="C1709" s="148" t="s">
        <v>529</v>
      </c>
      <c r="D1709" s="148" t="s">
        <v>70</v>
      </c>
      <c r="E1709" s="148">
        <v>30504662.382353026</v>
      </c>
      <c r="F1709" t="s">
        <v>249</v>
      </c>
      <c r="G1709"/>
    </row>
    <row r="1710" spans="1:7" ht="15.75">
      <c r="A1710" t="str">
        <f t="shared" si="26"/>
        <v>Ormont-DessusNon renseignéCHAUFF</v>
      </c>
      <c r="B1710" s="148">
        <v>5411</v>
      </c>
      <c r="C1710" s="148" t="s">
        <v>529</v>
      </c>
      <c r="D1710" s="148" t="s">
        <v>696</v>
      </c>
      <c r="E1710" s="148">
        <v>0</v>
      </c>
      <c r="F1710" t="s">
        <v>249</v>
      </c>
      <c r="G1710"/>
    </row>
    <row r="1711" spans="1:7" ht="15.75">
      <c r="A1711" t="str">
        <f t="shared" si="26"/>
        <v>Ormont-DessusPACCHAUFF</v>
      </c>
      <c r="B1711" s="148">
        <v>5411</v>
      </c>
      <c r="C1711" s="148" t="s">
        <v>529</v>
      </c>
      <c r="D1711" s="148" t="s">
        <v>69</v>
      </c>
      <c r="E1711" s="148">
        <v>207759.22466367998</v>
      </c>
      <c r="F1711" t="s">
        <v>249</v>
      </c>
      <c r="G1711"/>
    </row>
    <row r="1712" spans="1:7" ht="15.75">
      <c r="A1712" t="str">
        <f t="shared" si="26"/>
        <v>Ormont-DessusSolaireCHAUFF</v>
      </c>
      <c r="B1712" s="148">
        <v>5411</v>
      </c>
      <c r="C1712" s="148" t="s">
        <v>529</v>
      </c>
      <c r="D1712" s="148" t="s">
        <v>240</v>
      </c>
      <c r="E1712" s="148">
        <v>120910.80000000002</v>
      </c>
      <c r="F1712" t="s">
        <v>249</v>
      </c>
      <c r="G1712"/>
    </row>
    <row r="1713" spans="1:7" ht="15.75">
      <c r="A1713" t="str">
        <f t="shared" si="26"/>
        <v>OrnyBoisCHAUFF</v>
      </c>
      <c r="B1713" s="148">
        <v>5493</v>
      </c>
      <c r="C1713" s="148" t="s">
        <v>530</v>
      </c>
      <c r="D1713" s="148" t="s">
        <v>66</v>
      </c>
      <c r="E1713" s="148">
        <v>963230.47843134007</v>
      </c>
      <c r="F1713" t="s">
        <v>249</v>
      </c>
      <c r="G1713"/>
    </row>
    <row r="1714" spans="1:7" ht="15.75">
      <c r="A1714" t="str">
        <f t="shared" si="26"/>
        <v>OrnyCADCHAUFF</v>
      </c>
      <c r="B1714" s="148">
        <v>5493</v>
      </c>
      <c r="C1714" s="148" t="s">
        <v>530</v>
      </c>
      <c r="D1714" s="148" t="s">
        <v>242</v>
      </c>
      <c r="E1714" s="148">
        <v>43737.599999999999</v>
      </c>
      <c r="F1714" t="s">
        <v>249</v>
      </c>
      <c r="G1714"/>
    </row>
    <row r="1715" spans="1:7" ht="15.75">
      <c r="A1715" t="str">
        <f t="shared" si="26"/>
        <v>OrnyElectricitéCHAUFF</v>
      </c>
      <c r="B1715" s="148">
        <v>5493</v>
      </c>
      <c r="C1715" s="148" t="s">
        <v>530</v>
      </c>
      <c r="D1715" s="148" t="s">
        <v>97</v>
      </c>
      <c r="E1715" s="148">
        <v>829185.03225806006</v>
      </c>
      <c r="F1715" t="s">
        <v>249</v>
      </c>
      <c r="G1715"/>
    </row>
    <row r="1716" spans="1:7" ht="15.75">
      <c r="A1716" t="str">
        <f t="shared" si="26"/>
        <v>OrnyGazCHAUFF</v>
      </c>
      <c r="B1716" s="148">
        <v>5493</v>
      </c>
      <c r="C1716" s="148" t="s">
        <v>530</v>
      </c>
      <c r="D1716" s="148" t="s">
        <v>239</v>
      </c>
      <c r="E1716" s="148">
        <v>466427.64086688991</v>
      </c>
      <c r="F1716" t="s">
        <v>249</v>
      </c>
      <c r="G1716"/>
    </row>
    <row r="1717" spans="1:7" ht="15.75">
      <c r="A1717" t="str">
        <f t="shared" si="26"/>
        <v>OrnyMazoutCHAUFF</v>
      </c>
      <c r="B1717" s="148">
        <v>5493</v>
      </c>
      <c r="C1717" s="148" t="s">
        <v>530</v>
      </c>
      <c r="D1717" s="148" t="s">
        <v>70</v>
      </c>
      <c r="E1717" s="148">
        <v>1516166.4117646797</v>
      </c>
      <c r="F1717" t="s">
        <v>249</v>
      </c>
      <c r="G1717"/>
    </row>
    <row r="1718" spans="1:7" ht="15.75">
      <c r="A1718" t="str">
        <f t="shared" si="26"/>
        <v>OrnyNon renseignéCHAUFF</v>
      </c>
      <c r="B1718" s="148">
        <v>5493</v>
      </c>
      <c r="C1718" s="148" t="s">
        <v>530</v>
      </c>
      <c r="D1718" s="148" t="s">
        <v>696</v>
      </c>
      <c r="E1718" s="148">
        <v>0</v>
      </c>
      <c r="F1718" t="s">
        <v>249</v>
      </c>
      <c r="G1718"/>
    </row>
    <row r="1719" spans="1:7" ht="15.75">
      <c r="A1719" t="str">
        <f t="shared" si="26"/>
        <v>OrnyPACCHAUFF</v>
      </c>
      <c r="B1719" s="148">
        <v>5493</v>
      </c>
      <c r="C1719" s="148" t="s">
        <v>530</v>
      </c>
      <c r="D1719" s="148" t="s">
        <v>69</v>
      </c>
      <c r="E1719" s="148">
        <v>156672.10035843003</v>
      </c>
      <c r="F1719" t="s">
        <v>249</v>
      </c>
      <c r="G1719"/>
    </row>
    <row r="1720" spans="1:7" ht="15.75">
      <c r="A1720" t="str">
        <f t="shared" si="26"/>
        <v>OrnySolaireCHAUFF</v>
      </c>
      <c r="B1720" s="148">
        <v>5493</v>
      </c>
      <c r="C1720" s="148" t="s">
        <v>530</v>
      </c>
      <c r="D1720" s="148" t="s">
        <v>240</v>
      </c>
      <c r="E1720" s="148" t="e">
        <v>#N/A</v>
      </c>
      <c r="F1720" t="s">
        <v>249</v>
      </c>
      <c r="G1720"/>
    </row>
    <row r="1721" spans="1:7" ht="15.75">
      <c r="A1721" t="str">
        <f t="shared" si="26"/>
        <v>OronAutre agent énergétiqueCHAUFF</v>
      </c>
      <c r="B1721" s="148">
        <v>5805</v>
      </c>
      <c r="C1721" s="148" t="s">
        <v>531</v>
      </c>
      <c r="D1721" s="148" t="s">
        <v>245</v>
      </c>
      <c r="E1721" s="148">
        <v>88747.482352940002</v>
      </c>
      <c r="F1721" t="s">
        <v>249</v>
      </c>
      <c r="G1721"/>
    </row>
    <row r="1722" spans="1:7" ht="15.75">
      <c r="A1722" t="str">
        <f t="shared" si="26"/>
        <v>OronBoisCHAUFF</v>
      </c>
      <c r="B1722" s="148">
        <v>5805</v>
      </c>
      <c r="C1722" s="148" t="s">
        <v>531</v>
      </c>
      <c r="D1722" s="148" t="s">
        <v>66</v>
      </c>
      <c r="E1722" s="148">
        <v>10425034.559215713</v>
      </c>
      <c r="F1722" t="s">
        <v>249</v>
      </c>
      <c r="G1722"/>
    </row>
    <row r="1723" spans="1:7" ht="15.75">
      <c r="A1723" t="str">
        <f t="shared" si="26"/>
        <v>OronCADCHAUFF</v>
      </c>
      <c r="B1723" s="148">
        <v>5805</v>
      </c>
      <c r="C1723" s="148" t="s">
        <v>531</v>
      </c>
      <c r="D1723" s="148" t="s">
        <v>242</v>
      </c>
      <c r="E1723" s="148">
        <v>179894.71999999997</v>
      </c>
      <c r="F1723" t="s">
        <v>249</v>
      </c>
      <c r="G1723"/>
    </row>
    <row r="1724" spans="1:7" ht="15.75">
      <c r="A1724" t="str">
        <f t="shared" si="26"/>
        <v>OronCharbonCHAUFF</v>
      </c>
      <c r="B1724" s="148">
        <v>5805</v>
      </c>
      <c r="C1724" s="148" t="s">
        <v>531</v>
      </c>
      <c r="D1724" s="148" t="s">
        <v>695</v>
      </c>
      <c r="E1724" s="148" t="e">
        <v>#N/A</v>
      </c>
      <c r="F1724" t="s">
        <v>249</v>
      </c>
      <c r="G1724"/>
    </row>
    <row r="1725" spans="1:7" ht="15.75">
      <c r="A1725" t="str">
        <f t="shared" si="26"/>
        <v>OronElectricitéCHAUFF</v>
      </c>
      <c r="B1725" s="148">
        <v>5805</v>
      </c>
      <c r="C1725" s="148" t="s">
        <v>531</v>
      </c>
      <c r="D1725" s="148" t="s">
        <v>97</v>
      </c>
      <c r="E1725" s="148">
        <v>6256266.4516129512</v>
      </c>
      <c r="F1725" t="s">
        <v>249</v>
      </c>
      <c r="G1725"/>
    </row>
    <row r="1726" spans="1:7" ht="15.75">
      <c r="A1726" t="str">
        <f t="shared" si="26"/>
        <v>OronGazCHAUFF</v>
      </c>
      <c r="B1726" s="148">
        <v>5805</v>
      </c>
      <c r="C1726" s="148" t="s">
        <v>531</v>
      </c>
      <c r="D1726" s="148" t="s">
        <v>239</v>
      </c>
      <c r="E1726" s="148">
        <v>7619469.5029102499</v>
      </c>
      <c r="F1726" t="s">
        <v>249</v>
      </c>
      <c r="G1726"/>
    </row>
    <row r="1727" spans="1:7" ht="15.75">
      <c r="A1727" t="str">
        <f t="shared" si="26"/>
        <v>OronMazoutCHAUFF</v>
      </c>
      <c r="B1727" s="148">
        <v>5805</v>
      </c>
      <c r="C1727" s="148" t="s">
        <v>531</v>
      </c>
      <c r="D1727" s="148" t="s">
        <v>70</v>
      </c>
      <c r="E1727" s="148">
        <v>37143949.258204408</v>
      </c>
      <c r="F1727" t="s">
        <v>249</v>
      </c>
      <c r="G1727"/>
    </row>
    <row r="1728" spans="1:7" ht="15.75">
      <c r="A1728" t="str">
        <f t="shared" si="26"/>
        <v>OronNon renseignéCHAUFF</v>
      </c>
      <c r="B1728" s="148">
        <v>5805</v>
      </c>
      <c r="C1728" s="148" t="s">
        <v>531</v>
      </c>
      <c r="D1728" s="148" t="s">
        <v>696</v>
      </c>
      <c r="E1728" s="148">
        <v>0</v>
      </c>
      <c r="F1728" t="s">
        <v>249</v>
      </c>
      <c r="G1728"/>
    </row>
    <row r="1729" spans="1:7" ht="15.75">
      <c r="A1729" t="str">
        <f t="shared" si="26"/>
        <v>OronPACCHAUFF</v>
      </c>
      <c r="B1729" s="148">
        <v>5805</v>
      </c>
      <c r="C1729" s="148" t="s">
        <v>531</v>
      </c>
      <c r="D1729" s="148" t="s">
        <v>69</v>
      </c>
      <c r="E1729" s="148">
        <v>1598231.3318009304</v>
      </c>
      <c r="F1729" t="s">
        <v>249</v>
      </c>
      <c r="G1729"/>
    </row>
    <row r="1730" spans="1:7" ht="15.75">
      <c r="A1730" t="str">
        <f t="shared" si="26"/>
        <v>OronSolaireCHAUFF</v>
      </c>
      <c r="B1730" s="148">
        <v>5805</v>
      </c>
      <c r="C1730" s="148" t="s">
        <v>531</v>
      </c>
      <c r="D1730" s="148" t="s">
        <v>240</v>
      </c>
      <c r="E1730" s="148">
        <v>70394.959999999992</v>
      </c>
      <c r="F1730" t="s">
        <v>249</v>
      </c>
      <c r="G1730"/>
    </row>
    <row r="1731" spans="1:7" ht="15.75">
      <c r="A1731" t="str">
        <f t="shared" si="26"/>
        <v>OrzensAutre agent énergétiqueCHAUFF</v>
      </c>
      <c r="B1731" s="148">
        <v>5925</v>
      </c>
      <c r="C1731" s="148" t="s">
        <v>532</v>
      </c>
      <c r="D1731" s="148" t="s">
        <v>245</v>
      </c>
      <c r="E1731" s="148">
        <v>31541.45882353</v>
      </c>
      <c r="F1731" t="s">
        <v>249</v>
      </c>
      <c r="G1731"/>
    </row>
    <row r="1732" spans="1:7" ht="15.75">
      <c r="A1732" t="str">
        <f t="shared" si="26"/>
        <v>OrzensBoisCHAUFF</v>
      </c>
      <c r="B1732" s="148">
        <v>5925</v>
      </c>
      <c r="C1732" s="148" t="s">
        <v>532</v>
      </c>
      <c r="D1732" s="148" t="s">
        <v>66</v>
      </c>
      <c r="E1732" s="148">
        <v>615755.46666665992</v>
      </c>
      <c r="F1732" t="s">
        <v>249</v>
      </c>
      <c r="G1732"/>
    </row>
    <row r="1733" spans="1:7" ht="15.75">
      <c r="A1733" t="str">
        <f t="shared" si="26"/>
        <v>OrzensCADCHAUFF</v>
      </c>
      <c r="B1733" s="148">
        <v>5925</v>
      </c>
      <c r="C1733" s="148" t="s">
        <v>532</v>
      </c>
      <c r="D1733" s="148" t="s">
        <v>242</v>
      </c>
      <c r="E1733" s="148">
        <v>35659.200000000004</v>
      </c>
      <c r="F1733" t="s">
        <v>249</v>
      </c>
      <c r="G1733"/>
    </row>
    <row r="1734" spans="1:7" ht="15.75">
      <c r="A1734" t="str">
        <f t="shared" si="26"/>
        <v>OrzensElectricitéCHAUFF</v>
      </c>
      <c r="B1734" s="148">
        <v>5925</v>
      </c>
      <c r="C1734" s="148" t="s">
        <v>532</v>
      </c>
      <c r="D1734" s="148" t="s">
        <v>97</v>
      </c>
      <c r="E1734" s="148">
        <v>278858.49462364998</v>
      </c>
      <c r="F1734" t="s">
        <v>249</v>
      </c>
      <c r="G1734"/>
    </row>
    <row r="1735" spans="1:7" ht="15.75">
      <c r="A1735" t="str">
        <f t="shared" si="26"/>
        <v>OrzensMazoutCHAUFF</v>
      </c>
      <c r="B1735" s="148">
        <v>5925</v>
      </c>
      <c r="C1735" s="148" t="s">
        <v>532</v>
      </c>
      <c r="D1735" s="148" t="s">
        <v>70</v>
      </c>
      <c r="E1735" s="148">
        <v>3221380.2941176407</v>
      </c>
      <c r="F1735" t="s">
        <v>249</v>
      </c>
      <c r="G1735"/>
    </row>
    <row r="1736" spans="1:7" ht="15.75">
      <c r="A1736" t="str">
        <f t="shared" si="26"/>
        <v>OrzensNon renseignéCHAUFF</v>
      </c>
      <c r="B1736" s="148">
        <v>5925</v>
      </c>
      <c r="C1736" s="148" t="s">
        <v>532</v>
      </c>
      <c r="D1736" s="148" t="s">
        <v>696</v>
      </c>
      <c r="E1736" s="148">
        <v>0</v>
      </c>
      <c r="F1736" t="s">
        <v>249</v>
      </c>
      <c r="G1736"/>
    </row>
    <row r="1737" spans="1:7" ht="15.75">
      <c r="A1737" t="str">
        <f t="shared" si="26"/>
        <v>OrzensPACCHAUFF</v>
      </c>
      <c r="B1737" s="148">
        <v>5925</v>
      </c>
      <c r="C1737" s="148" t="s">
        <v>532</v>
      </c>
      <c r="D1737" s="148" t="s">
        <v>69</v>
      </c>
      <c r="E1737" s="148">
        <v>100886.37992831001</v>
      </c>
      <c r="F1737" t="s">
        <v>249</v>
      </c>
      <c r="G1737"/>
    </row>
    <row r="1738" spans="1:7" ht="15.75">
      <c r="A1738" t="str">
        <f t="shared" si="26"/>
        <v>OrzensSolaireCHAUFF</v>
      </c>
      <c r="B1738" s="148">
        <v>5925</v>
      </c>
      <c r="C1738" s="148" t="s">
        <v>532</v>
      </c>
      <c r="D1738" s="148" t="s">
        <v>240</v>
      </c>
      <c r="E1738" s="148">
        <v>5209.6000000000004</v>
      </c>
      <c r="F1738" t="s">
        <v>249</v>
      </c>
      <c r="G1738"/>
    </row>
    <row r="1739" spans="1:7" ht="15.75">
      <c r="A1739" t="str">
        <f t="shared" ref="A1739:A1802" si="27">_xlfn.CONCAT(C1739,D1739,F1739)</f>
        <v>Oulens-sous-EchallensBoisCHAUFF</v>
      </c>
      <c r="B1739" s="148">
        <v>5529</v>
      </c>
      <c r="C1739" s="148" t="s">
        <v>625</v>
      </c>
      <c r="D1739" s="148" t="s">
        <v>66</v>
      </c>
      <c r="E1739" s="148">
        <v>392147.39607843</v>
      </c>
      <c r="F1739" t="s">
        <v>249</v>
      </c>
      <c r="G1739"/>
    </row>
    <row r="1740" spans="1:7" ht="15.75">
      <c r="A1740" t="str">
        <f t="shared" si="27"/>
        <v>Oulens-sous-EchallensElectricitéCHAUFF</v>
      </c>
      <c r="B1740" s="148">
        <v>5529</v>
      </c>
      <c r="C1740" s="148" t="s">
        <v>625</v>
      </c>
      <c r="D1740" s="148" t="s">
        <v>97</v>
      </c>
      <c r="E1740" s="148">
        <v>522110.32258066989</v>
      </c>
      <c r="F1740" t="s">
        <v>249</v>
      </c>
      <c r="G1740"/>
    </row>
    <row r="1741" spans="1:7" ht="15.75">
      <c r="A1741" t="str">
        <f t="shared" si="27"/>
        <v>Oulens-sous-EchallensGazCHAUFF</v>
      </c>
      <c r="B1741" s="148">
        <v>5529</v>
      </c>
      <c r="C1741" s="148" t="s">
        <v>625</v>
      </c>
      <c r="D1741" s="148" t="s">
        <v>239</v>
      </c>
      <c r="E1741" s="148">
        <v>249924.0619195</v>
      </c>
      <c r="F1741" t="s">
        <v>249</v>
      </c>
      <c r="G1741"/>
    </row>
    <row r="1742" spans="1:7" ht="15.75">
      <c r="A1742" t="str">
        <f t="shared" si="27"/>
        <v>Oulens-sous-EchallensMazoutCHAUFF</v>
      </c>
      <c r="B1742" s="148">
        <v>5529</v>
      </c>
      <c r="C1742" s="148" t="s">
        <v>625</v>
      </c>
      <c r="D1742" s="148" t="s">
        <v>70</v>
      </c>
      <c r="E1742" s="148">
        <v>6184800.7764705885</v>
      </c>
      <c r="F1742" t="s">
        <v>249</v>
      </c>
      <c r="G1742"/>
    </row>
    <row r="1743" spans="1:7" ht="15.75">
      <c r="A1743" t="str">
        <f t="shared" si="27"/>
        <v>Oulens-sous-EchallensNon renseignéCHAUFF</v>
      </c>
      <c r="B1743" s="148">
        <v>5529</v>
      </c>
      <c r="C1743" s="148" t="s">
        <v>625</v>
      </c>
      <c r="D1743" s="148" t="s">
        <v>696</v>
      </c>
      <c r="E1743" s="148">
        <v>0</v>
      </c>
      <c r="F1743" t="s">
        <v>249</v>
      </c>
      <c r="G1743"/>
    </row>
    <row r="1744" spans="1:7" ht="15.75">
      <c r="A1744" t="str">
        <f t="shared" si="27"/>
        <v>Oulens-sous-EchallensPACCHAUFF</v>
      </c>
      <c r="B1744" s="148">
        <v>5529</v>
      </c>
      <c r="C1744" s="148" t="s">
        <v>625</v>
      </c>
      <c r="D1744" s="148" t="s">
        <v>69</v>
      </c>
      <c r="E1744" s="148">
        <v>337620.99259257998</v>
      </c>
      <c r="F1744" t="s">
        <v>249</v>
      </c>
      <c r="G1744"/>
    </row>
    <row r="1745" spans="1:7" ht="15.75">
      <c r="A1745" t="str">
        <f t="shared" si="27"/>
        <v>Oulens-sous-EchallensSolaireCHAUFF</v>
      </c>
      <c r="B1745" s="148">
        <v>5529</v>
      </c>
      <c r="C1745" s="148" t="s">
        <v>625</v>
      </c>
      <c r="D1745" s="148" t="s">
        <v>240</v>
      </c>
      <c r="E1745" s="148" t="e">
        <v>#N/A</v>
      </c>
      <c r="F1745" t="s">
        <v>249</v>
      </c>
      <c r="G1745"/>
    </row>
    <row r="1746" spans="1:7" ht="15.75">
      <c r="A1746" t="str">
        <f t="shared" si="27"/>
        <v>PaillyAutre agent énergétiqueCHAUFF</v>
      </c>
      <c r="B1746" s="148">
        <v>5530</v>
      </c>
      <c r="C1746" s="148" t="s">
        <v>533</v>
      </c>
      <c r="D1746" s="148" t="s">
        <v>245</v>
      </c>
      <c r="E1746" s="148">
        <v>8553.4117647099993</v>
      </c>
      <c r="F1746" t="s">
        <v>249</v>
      </c>
      <c r="G1746"/>
    </row>
    <row r="1747" spans="1:7" ht="15.75">
      <c r="A1747" t="str">
        <f t="shared" si="27"/>
        <v>PaillyBoisCHAUFF</v>
      </c>
      <c r="B1747" s="148">
        <v>5530</v>
      </c>
      <c r="C1747" s="148" t="s">
        <v>533</v>
      </c>
      <c r="D1747" s="148" t="s">
        <v>66</v>
      </c>
      <c r="E1747" s="148">
        <v>1029079.27843136</v>
      </c>
      <c r="F1747" t="s">
        <v>249</v>
      </c>
      <c r="G1747"/>
    </row>
    <row r="1748" spans="1:7" ht="15.75">
      <c r="A1748" t="str">
        <f t="shared" si="27"/>
        <v>PaillyElectricitéCHAUFF</v>
      </c>
      <c r="B1748" s="148">
        <v>5530</v>
      </c>
      <c r="C1748" s="148" t="s">
        <v>533</v>
      </c>
      <c r="D1748" s="148" t="s">
        <v>97</v>
      </c>
      <c r="E1748" s="148">
        <v>488861.07526884001</v>
      </c>
      <c r="F1748" t="s">
        <v>249</v>
      </c>
      <c r="G1748"/>
    </row>
    <row r="1749" spans="1:7" ht="15.75">
      <c r="A1749" t="str">
        <f t="shared" si="27"/>
        <v>PaillyGazCHAUFF</v>
      </c>
      <c r="B1749" s="148">
        <v>5530</v>
      </c>
      <c r="C1749" s="148" t="s">
        <v>533</v>
      </c>
      <c r="D1749" s="148" t="s">
        <v>239</v>
      </c>
      <c r="E1749" s="148">
        <v>1915623.0944272904</v>
      </c>
      <c r="F1749" t="s">
        <v>249</v>
      </c>
      <c r="G1749"/>
    </row>
    <row r="1750" spans="1:7" ht="15.75">
      <c r="A1750" t="str">
        <f t="shared" si="27"/>
        <v>PaillyMazoutCHAUFF</v>
      </c>
      <c r="B1750" s="148">
        <v>5530</v>
      </c>
      <c r="C1750" s="148" t="s">
        <v>533</v>
      </c>
      <c r="D1750" s="148" t="s">
        <v>70</v>
      </c>
      <c r="E1750" s="148">
        <v>3586194.4117647298</v>
      </c>
      <c r="F1750" t="s">
        <v>249</v>
      </c>
      <c r="G1750"/>
    </row>
    <row r="1751" spans="1:7" ht="15.75">
      <c r="A1751" t="str">
        <f t="shared" si="27"/>
        <v>PaillyNon renseignéCHAUFF</v>
      </c>
      <c r="B1751" s="148">
        <v>5530</v>
      </c>
      <c r="C1751" s="148" t="s">
        <v>533</v>
      </c>
      <c r="D1751" s="148" t="s">
        <v>696</v>
      </c>
      <c r="E1751" s="148">
        <v>0</v>
      </c>
      <c r="F1751" t="s">
        <v>249</v>
      </c>
      <c r="G1751"/>
    </row>
    <row r="1752" spans="1:7" ht="15.75">
      <c r="A1752" t="str">
        <f t="shared" si="27"/>
        <v>PaillyPACCHAUFF</v>
      </c>
      <c r="B1752" s="148">
        <v>5530</v>
      </c>
      <c r="C1752" s="148" t="s">
        <v>533</v>
      </c>
      <c r="D1752" s="148" t="s">
        <v>69</v>
      </c>
      <c r="E1752" s="148">
        <v>226178.76837565994</v>
      </c>
      <c r="F1752" t="s">
        <v>249</v>
      </c>
      <c r="G1752"/>
    </row>
    <row r="1753" spans="1:7" ht="15.75">
      <c r="A1753" t="str">
        <f t="shared" si="27"/>
        <v>PaillySolaireCHAUFF</v>
      </c>
      <c r="B1753" s="148">
        <v>5530</v>
      </c>
      <c r="C1753" s="148" t="s">
        <v>533</v>
      </c>
      <c r="D1753" s="148" t="s">
        <v>240</v>
      </c>
      <c r="E1753" s="148">
        <v>33163.800000000003</v>
      </c>
      <c r="F1753" t="s">
        <v>249</v>
      </c>
      <c r="G1753"/>
    </row>
    <row r="1754" spans="1:7" ht="15.75">
      <c r="A1754" t="str">
        <f t="shared" si="27"/>
        <v>PampignyBoisCHAUFF</v>
      </c>
      <c r="B1754" s="148">
        <v>5494</v>
      </c>
      <c r="C1754" s="148" t="s">
        <v>534</v>
      </c>
      <c r="D1754" s="148" t="s">
        <v>66</v>
      </c>
      <c r="E1754" s="148" t="e">
        <v>#N/A</v>
      </c>
      <c r="F1754" t="s">
        <v>249</v>
      </c>
      <c r="G1754"/>
    </row>
    <row r="1755" spans="1:7" ht="15.75">
      <c r="A1755" t="str">
        <f t="shared" si="27"/>
        <v>PampignyCADCHAUFF</v>
      </c>
      <c r="B1755" s="148">
        <v>5494</v>
      </c>
      <c r="C1755" s="148" t="s">
        <v>534</v>
      </c>
      <c r="D1755" s="148" t="s">
        <v>242</v>
      </c>
      <c r="E1755" s="148" t="e">
        <v>#N/A</v>
      </c>
      <c r="F1755" t="s">
        <v>249</v>
      </c>
      <c r="G1755"/>
    </row>
    <row r="1756" spans="1:7" ht="15.75">
      <c r="A1756" t="str">
        <f t="shared" si="27"/>
        <v>PampignyElectricitéCHAUFF</v>
      </c>
      <c r="B1756" s="148">
        <v>5494</v>
      </c>
      <c r="C1756" s="148" t="s">
        <v>534</v>
      </c>
      <c r="D1756" s="148" t="s">
        <v>97</v>
      </c>
      <c r="E1756" s="148" t="e">
        <v>#N/A</v>
      </c>
      <c r="F1756" t="s">
        <v>249</v>
      </c>
      <c r="G1756"/>
    </row>
    <row r="1757" spans="1:7" ht="15.75">
      <c r="A1757" t="str">
        <f t="shared" si="27"/>
        <v>PampignyGazCHAUFF</v>
      </c>
      <c r="B1757" s="148">
        <v>5494</v>
      </c>
      <c r="C1757" s="148" t="s">
        <v>534</v>
      </c>
      <c r="D1757" s="148" t="s">
        <v>239</v>
      </c>
      <c r="E1757" s="148" t="e">
        <v>#N/A</v>
      </c>
      <c r="F1757" t="s">
        <v>249</v>
      </c>
      <c r="G1757"/>
    </row>
    <row r="1758" spans="1:7" ht="15.75">
      <c r="A1758" t="str">
        <f t="shared" si="27"/>
        <v>PampignyMazoutCHAUFF</v>
      </c>
      <c r="B1758" s="148">
        <v>5494</v>
      </c>
      <c r="C1758" s="148" t="s">
        <v>534</v>
      </c>
      <c r="D1758" s="148" t="s">
        <v>70</v>
      </c>
      <c r="E1758" s="148" t="e">
        <v>#N/A</v>
      </c>
      <c r="F1758" t="s">
        <v>249</v>
      </c>
      <c r="G1758"/>
    </row>
    <row r="1759" spans="1:7" ht="15.75">
      <c r="A1759" t="str">
        <f t="shared" si="27"/>
        <v>PampignyNon renseignéCHAUFF</v>
      </c>
      <c r="B1759" s="148">
        <v>5494</v>
      </c>
      <c r="C1759" s="148" t="s">
        <v>534</v>
      </c>
      <c r="D1759" s="148" t="s">
        <v>696</v>
      </c>
      <c r="E1759" s="148" t="e">
        <v>#N/A</v>
      </c>
      <c r="F1759" t="s">
        <v>249</v>
      </c>
      <c r="G1759"/>
    </row>
    <row r="1760" spans="1:7" ht="15.75">
      <c r="A1760" t="str">
        <f t="shared" si="27"/>
        <v>PampignyPACCHAUFF</v>
      </c>
      <c r="B1760" s="148">
        <v>5494</v>
      </c>
      <c r="C1760" s="148" t="s">
        <v>534</v>
      </c>
      <c r="D1760" s="148" t="s">
        <v>69</v>
      </c>
      <c r="E1760" s="148" t="e">
        <v>#N/A</v>
      </c>
      <c r="F1760" t="s">
        <v>249</v>
      </c>
      <c r="G1760"/>
    </row>
    <row r="1761" spans="1:7" ht="15.75">
      <c r="A1761" t="str">
        <f t="shared" si="27"/>
        <v>PampignySolaireCHAUFF</v>
      </c>
      <c r="B1761" s="148">
        <v>5494</v>
      </c>
      <c r="C1761" s="148" t="s">
        <v>534</v>
      </c>
      <c r="D1761" s="148" t="s">
        <v>240</v>
      </c>
      <c r="E1761" s="148" t="e">
        <v>#N/A</v>
      </c>
      <c r="F1761" t="s">
        <v>249</v>
      </c>
      <c r="G1761"/>
    </row>
    <row r="1762" spans="1:7" ht="15.75">
      <c r="A1762" t="str">
        <f t="shared" si="27"/>
        <v>PaudexAutre agent énergétiqueCHAUFF</v>
      </c>
      <c r="B1762" s="148">
        <v>5588</v>
      </c>
      <c r="C1762" s="148" t="s">
        <v>535</v>
      </c>
      <c r="D1762" s="148" t="s">
        <v>245</v>
      </c>
      <c r="E1762" s="148">
        <v>131960.23529412001</v>
      </c>
      <c r="F1762" t="s">
        <v>249</v>
      </c>
      <c r="G1762"/>
    </row>
    <row r="1763" spans="1:7" ht="15.75">
      <c r="A1763" t="str">
        <f t="shared" si="27"/>
        <v>PaudexBoisCHAUFF</v>
      </c>
      <c r="B1763" s="148">
        <v>5588</v>
      </c>
      <c r="C1763" s="148" t="s">
        <v>535</v>
      </c>
      <c r="D1763" s="148" t="s">
        <v>66</v>
      </c>
      <c r="E1763" s="148">
        <v>227121.94509805</v>
      </c>
      <c r="F1763" t="s">
        <v>249</v>
      </c>
      <c r="G1763"/>
    </row>
    <row r="1764" spans="1:7" ht="15.75">
      <c r="A1764" t="str">
        <f t="shared" si="27"/>
        <v>PaudexCADCHAUFF</v>
      </c>
      <c r="B1764" s="148">
        <v>5588</v>
      </c>
      <c r="C1764" s="148" t="s">
        <v>535</v>
      </c>
      <c r="D1764" s="148" t="s">
        <v>242</v>
      </c>
      <c r="E1764" s="148">
        <v>604.80000000000007</v>
      </c>
      <c r="F1764" t="s">
        <v>249</v>
      </c>
      <c r="G1764"/>
    </row>
    <row r="1765" spans="1:7" ht="15.75">
      <c r="A1765" t="str">
        <f t="shared" si="27"/>
        <v>PaudexElectricitéCHAUFF</v>
      </c>
      <c r="B1765" s="148">
        <v>5588</v>
      </c>
      <c r="C1765" s="148" t="s">
        <v>535</v>
      </c>
      <c r="D1765" s="148" t="s">
        <v>97</v>
      </c>
      <c r="E1765" s="148">
        <v>466286.02150537993</v>
      </c>
      <c r="F1765" t="s">
        <v>249</v>
      </c>
      <c r="G1765"/>
    </row>
    <row r="1766" spans="1:7" ht="15.75">
      <c r="A1766" t="str">
        <f t="shared" si="27"/>
        <v>PaudexGazCHAUFF</v>
      </c>
      <c r="B1766" s="148">
        <v>5588</v>
      </c>
      <c r="C1766" s="148" t="s">
        <v>535</v>
      </c>
      <c r="D1766" s="148" t="s">
        <v>239</v>
      </c>
      <c r="E1766" s="148">
        <v>9003278.9256966878</v>
      </c>
      <c r="F1766" t="s">
        <v>249</v>
      </c>
      <c r="G1766"/>
    </row>
    <row r="1767" spans="1:7" ht="15.75">
      <c r="A1767" t="str">
        <f t="shared" si="27"/>
        <v>PaudexMazoutCHAUFF</v>
      </c>
      <c r="B1767" s="148">
        <v>5588</v>
      </c>
      <c r="C1767" s="148" t="s">
        <v>535</v>
      </c>
      <c r="D1767" s="148" t="s">
        <v>70</v>
      </c>
      <c r="E1767" s="148">
        <v>8005164.4117647056</v>
      </c>
      <c r="F1767" t="s">
        <v>249</v>
      </c>
      <c r="G1767"/>
    </row>
    <row r="1768" spans="1:7" ht="15.75">
      <c r="A1768" t="str">
        <f t="shared" si="27"/>
        <v>PaudexPACCHAUFF</v>
      </c>
      <c r="B1768" s="148">
        <v>5588</v>
      </c>
      <c r="C1768" s="148" t="s">
        <v>535</v>
      </c>
      <c r="D1768" s="148" t="s">
        <v>69</v>
      </c>
      <c r="E1768" s="148">
        <v>216435.34704690997</v>
      </c>
      <c r="F1768" t="s">
        <v>249</v>
      </c>
      <c r="G1768"/>
    </row>
    <row r="1769" spans="1:7" ht="15.75">
      <c r="A1769" t="str">
        <f t="shared" si="27"/>
        <v>PaudexSolaireCHAUFF</v>
      </c>
      <c r="B1769" s="148">
        <v>5588</v>
      </c>
      <c r="C1769" s="148" t="s">
        <v>535</v>
      </c>
      <c r="D1769" s="148" t="s">
        <v>240</v>
      </c>
      <c r="E1769" s="148" t="e">
        <v>#N/A</v>
      </c>
      <c r="F1769" t="s">
        <v>249</v>
      </c>
      <c r="G1769"/>
    </row>
    <row r="1770" spans="1:7" ht="15.75">
      <c r="A1770" t="str">
        <f t="shared" si="27"/>
        <v>PayerneAutre agent énergétiqueCHAUFF</v>
      </c>
      <c r="B1770" s="148">
        <v>5822</v>
      </c>
      <c r="C1770" s="148" t="s">
        <v>536</v>
      </c>
      <c r="D1770" s="148" t="s">
        <v>245</v>
      </c>
      <c r="E1770" s="148">
        <v>167365.64705884</v>
      </c>
      <c r="F1770" t="s">
        <v>249</v>
      </c>
      <c r="G1770"/>
    </row>
    <row r="1771" spans="1:7" ht="15.75">
      <c r="A1771" t="str">
        <f t="shared" si="27"/>
        <v>PayerneBoisCHAUFF</v>
      </c>
      <c r="B1771" s="148">
        <v>5822</v>
      </c>
      <c r="C1771" s="148" t="s">
        <v>536</v>
      </c>
      <c r="D1771" s="148" t="s">
        <v>66</v>
      </c>
      <c r="E1771" s="148">
        <v>3532932.8109803898</v>
      </c>
      <c r="F1771" t="s">
        <v>249</v>
      </c>
      <c r="G1771"/>
    </row>
    <row r="1772" spans="1:7" ht="15.75">
      <c r="A1772" t="str">
        <f t="shared" si="27"/>
        <v>PayerneCADCHAUFF</v>
      </c>
      <c r="B1772" s="148">
        <v>5822</v>
      </c>
      <c r="C1772" s="148" t="s">
        <v>536</v>
      </c>
      <c r="D1772" s="148" t="s">
        <v>242</v>
      </c>
      <c r="E1772" s="148">
        <v>1239073.04</v>
      </c>
      <c r="F1772" t="s">
        <v>249</v>
      </c>
      <c r="G1772"/>
    </row>
    <row r="1773" spans="1:7" ht="15.75">
      <c r="A1773" t="str">
        <f t="shared" si="27"/>
        <v>PayerneCharbonCHAUFF</v>
      </c>
      <c r="B1773" s="148">
        <v>5822</v>
      </c>
      <c r="C1773" s="148" t="s">
        <v>536</v>
      </c>
      <c r="D1773" s="148" t="s">
        <v>695</v>
      </c>
      <c r="E1773" s="148" t="e">
        <v>#N/A</v>
      </c>
      <c r="F1773" t="s">
        <v>249</v>
      </c>
      <c r="G1773"/>
    </row>
    <row r="1774" spans="1:7" ht="15.75">
      <c r="A1774" t="str">
        <f t="shared" si="27"/>
        <v>PayerneElectricitéCHAUFF</v>
      </c>
      <c r="B1774" s="148">
        <v>5822</v>
      </c>
      <c r="C1774" s="148" t="s">
        <v>536</v>
      </c>
      <c r="D1774" s="148" t="s">
        <v>97</v>
      </c>
      <c r="E1774" s="148">
        <v>4523182.8709677802</v>
      </c>
      <c r="F1774" t="s">
        <v>249</v>
      </c>
      <c r="G1774"/>
    </row>
    <row r="1775" spans="1:7" ht="15.75">
      <c r="A1775" t="str">
        <f t="shared" si="27"/>
        <v>PayerneGazCHAUFF</v>
      </c>
      <c r="B1775" s="148">
        <v>5822</v>
      </c>
      <c r="C1775" s="148" t="s">
        <v>536</v>
      </c>
      <c r="D1775" s="148" t="s">
        <v>239</v>
      </c>
      <c r="E1775" s="148">
        <v>18690442.615479968</v>
      </c>
      <c r="F1775" t="s">
        <v>249</v>
      </c>
      <c r="G1775"/>
    </row>
    <row r="1776" spans="1:7" ht="15.75">
      <c r="A1776" t="str">
        <f t="shared" si="27"/>
        <v>PayerneMazoutCHAUFF</v>
      </c>
      <c r="B1776" s="148">
        <v>5822</v>
      </c>
      <c r="C1776" s="148" t="s">
        <v>536</v>
      </c>
      <c r="D1776" s="148" t="s">
        <v>70</v>
      </c>
      <c r="E1776" s="148">
        <v>51121157.00000003</v>
      </c>
      <c r="F1776" t="s">
        <v>249</v>
      </c>
      <c r="G1776"/>
    </row>
    <row r="1777" spans="1:7" ht="15.75">
      <c r="A1777" t="str">
        <f t="shared" si="27"/>
        <v>PayerneNon renseignéCHAUFF</v>
      </c>
      <c r="B1777" s="148">
        <v>5822</v>
      </c>
      <c r="C1777" s="148" t="s">
        <v>536</v>
      </c>
      <c r="D1777" s="148" t="s">
        <v>696</v>
      </c>
      <c r="E1777" s="148">
        <v>0</v>
      </c>
      <c r="F1777" t="s">
        <v>249</v>
      </c>
      <c r="G1777"/>
    </row>
    <row r="1778" spans="1:7" ht="15.75">
      <c r="A1778" t="str">
        <f t="shared" si="27"/>
        <v>PayernePACCHAUFF</v>
      </c>
      <c r="B1778" s="148">
        <v>5822</v>
      </c>
      <c r="C1778" s="148" t="s">
        <v>536</v>
      </c>
      <c r="D1778" s="148" t="s">
        <v>69</v>
      </c>
      <c r="E1778" s="148">
        <v>2051078.8373583811</v>
      </c>
      <c r="F1778" t="s">
        <v>249</v>
      </c>
      <c r="G1778"/>
    </row>
    <row r="1779" spans="1:7" ht="15.75">
      <c r="A1779" t="str">
        <f t="shared" si="27"/>
        <v>PayerneSolaireCHAUFF</v>
      </c>
      <c r="B1779" s="148">
        <v>5822</v>
      </c>
      <c r="C1779" s="148" t="s">
        <v>536</v>
      </c>
      <c r="D1779" s="148" t="s">
        <v>240</v>
      </c>
      <c r="E1779" s="148">
        <v>26160</v>
      </c>
      <c r="F1779" t="s">
        <v>249</v>
      </c>
      <c r="G1779"/>
    </row>
    <row r="1780" spans="1:7" ht="15.75">
      <c r="A1780" t="str">
        <f t="shared" si="27"/>
        <v>PenthalazAutre agent énergétiqueCHAUFF</v>
      </c>
      <c r="B1780" s="148">
        <v>5495</v>
      </c>
      <c r="C1780" s="148" t="s">
        <v>537</v>
      </c>
      <c r="D1780" s="148" t="s">
        <v>245</v>
      </c>
      <c r="E1780" s="148">
        <v>120451.76470588001</v>
      </c>
      <c r="F1780" t="s">
        <v>249</v>
      </c>
      <c r="G1780"/>
    </row>
    <row r="1781" spans="1:7" ht="15.75">
      <c r="A1781" t="str">
        <f t="shared" si="27"/>
        <v>PenthalazBoisCHAUFF</v>
      </c>
      <c r="B1781" s="148">
        <v>5495</v>
      </c>
      <c r="C1781" s="148" t="s">
        <v>537</v>
      </c>
      <c r="D1781" s="148" t="s">
        <v>66</v>
      </c>
      <c r="E1781" s="148">
        <v>843956.8</v>
      </c>
      <c r="F1781" t="s">
        <v>249</v>
      </c>
      <c r="G1781"/>
    </row>
    <row r="1782" spans="1:7" ht="15.75">
      <c r="A1782" t="str">
        <f t="shared" si="27"/>
        <v>PenthalazCADCHAUFF</v>
      </c>
      <c r="B1782" s="148">
        <v>5495</v>
      </c>
      <c r="C1782" s="148" t="s">
        <v>537</v>
      </c>
      <c r="D1782" s="148" t="s">
        <v>242</v>
      </c>
      <c r="E1782" s="148">
        <v>542520</v>
      </c>
      <c r="F1782" t="s">
        <v>249</v>
      </c>
      <c r="G1782"/>
    </row>
    <row r="1783" spans="1:7" ht="15.75">
      <c r="A1783" t="str">
        <f t="shared" si="27"/>
        <v>PenthalazCharbonCHAUFF</v>
      </c>
      <c r="B1783" s="148">
        <v>5495</v>
      </c>
      <c r="C1783" s="148" t="s">
        <v>537</v>
      </c>
      <c r="D1783" s="148" t="s">
        <v>695</v>
      </c>
      <c r="E1783" s="148" t="e">
        <v>#N/A</v>
      </c>
      <c r="F1783" t="s">
        <v>249</v>
      </c>
      <c r="G1783"/>
    </row>
    <row r="1784" spans="1:7" ht="15.75">
      <c r="A1784" t="str">
        <f t="shared" si="27"/>
        <v>PenthalazElectricitéCHAUFF</v>
      </c>
      <c r="B1784" s="148">
        <v>5495</v>
      </c>
      <c r="C1784" s="148" t="s">
        <v>537</v>
      </c>
      <c r="D1784" s="148" t="s">
        <v>97</v>
      </c>
      <c r="E1784" s="148">
        <v>2709482.9569892492</v>
      </c>
      <c r="F1784" t="s">
        <v>249</v>
      </c>
      <c r="G1784"/>
    </row>
    <row r="1785" spans="1:7" ht="15.75">
      <c r="A1785" t="str">
        <f t="shared" si="27"/>
        <v>PenthalazGazCHAUFF</v>
      </c>
      <c r="B1785" s="148">
        <v>5495</v>
      </c>
      <c r="C1785" s="148" t="s">
        <v>537</v>
      </c>
      <c r="D1785" s="148" t="s">
        <v>239</v>
      </c>
      <c r="E1785" s="148">
        <v>14254004.115170311</v>
      </c>
      <c r="F1785" t="s">
        <v>249</v>
      </c>
      <c r="G1785"/>
    </row>
    <row r="1786" spans="1:7" ht="15.75">
      <c r="A1786" t="str">
        <f t="shared" si="27"/>
        <v>PenthalazMazoutCHAUFF</v>
      </c>
      <c r="B1786" s="148">
        <v>5495</v>
      </c>
      <c r="C1786" s="148" t="s">
        <v>537</v>
      </c>
      <c r="D1786" s="148" t="s">
        <v>70</v>
      </c>
      <c r="E1786" s="148">
        <v>7926030.188235309</v>
      </c>
      <c r="F1786" t="s">
        <v>249</v>
      </c>
      <c r="G1786"/>
    </row>
    <row r="1787" spans="1:7" ht="15.75">
      <c r="A1787" t="str">
        <f t="shared" si="27"/>
        <v>PenthalazNon renseignéCHAUFF</v>
      </c>
      <c r="B1787" s="148">
        <v>5495</v>
      </c>
      <c r="C1787" s="148" t="s">
        <v>537</v>
      </c>
      <c r="D1787" s="148" t="s">
        <v>696</v>
      </c>
      <c r="E1787" s="148">
        <v>0</v>
      </c>
      <c r="F1787" t="s">
        <v>249</v>
      </c>
      <c r="G1787"/>
    </row>
    <row r="1788" spans="1:7" ht="15.75">
      <c r="A1788" t="str">
        <f t="shared" si="27"/>
        <v>PenthalazPACCHAUFF</v>
      </c>
      <c r="B1788" s="148">
        <v>5495</v>
      </c>
      <c r="C1788" s="148" t="s">
        <v>537</v>
      </c>
      <c r="D1788" s="148" t="s">
        <v>69</v>
      </c>
      <c r="E1788" s="148">
        <v>252922.90241545998</v>
      </c>
      <c r="F1788" t="s">
        <v>249</v>
      </c>
      <c r="G1788"/>
    </row>
    <row r="1789" spans="1:7" ht="15.75">
      <c r="A1789" t="str">
        <f t="shared" si="27"/>
        <v>PenthalazSolaireCHAUFF</v>
      </c>
      <c r="B1789" s="148">
        <v>5495</v>
      </c>
      <c r="C1789" s="148" t="s">
        <v>537</v>
      </c>
      <c r="D1789" s="148" t="s">
        <v>240</v>
      </c>
      <c r="E1789" s="148">
        <v>43462.8</v>
      </c>
      <c r="F1789" t="s">
        <v>249</v>
      </c>
      <c r="G1789"/>
    </row>
    <row r="1790" spans="1:7" ht="15.75">
      <c r="A1790" t="str">
        <f t="shared" si="27"/>
        <v>PenthazBoisCHAUFF</v>
      </c>
      <c r="B1790" s="148">
        <v>5496</v>
      </c>
      <c r="C1790" s="148" t="s">
        <v>538</v>
      </c>
      <c r="D1790" s="148" t="s">
        <v>66</v>
      </c>
      <c r="E1790" s="148">
        <v>533392.06274511002</v>
      </c>
      <c r="F1790" t="s">
        <v>249</v>
      </c>
      <c r="G1790"/>
    </row>
    <row r="1791" spans="1:7" ht="15.75">
      <c r="A1791" t="str">
        <f t="shared" si="27"/>
        <v>PenthazCADCHAUFF</v>
      </c>
      <c r="B1791" s="148">
        <v>5496</v>
      </c>
      <c r="C1791" s="148" t="s">
        <v>538</v>
      </c>
      <c r="D1791" s="148" t="s">
        <v>242</v>
      </c>
      <c r="E1791" s="148">
        <v>50265.600000000006</v>
      </c>
      <c r="F1791" t="s">
        <v>249</v>
      </c>
      <c r="G1791"/>
    </row>
    <row r="1792" spans="1:7" ht="15.75">
      <c r="A1792" t="str">
        <f t="shared" si="27"/>
        <v>PenthazElectricitéCHAUFF</v>
      </c>
      <c r="B1792" s="148">
        <v>5496</v>
      </c>
      <c r="C1792" s="148" t="s">
        <v>538</v>
      </c>
      <c r="D1792" s="148" t="s">
        <v>97</v>
      </c>
      <c r="E1792" s="148">
        <v>2153462.7956989794</v>
      </c>
      <c r="F1792" t="s">
        <v>249</v>
      </c>
      <c r="G1792"/>
    </row>
    <row r="1793" spans="1:7" ht="15.75">
      <c r="A1793" t="str">
        <f t="shared" si="27"/>
        <v>PenthazGazCHAUFF</v>
      </c>
      <c r="B1793" s="148">
        <v>5496</v>
      </c>
      <c r="C1793" s="148" t="s">
        <v>538</v>
      </c>
      <c r="D1793" s="148" t="s">
        <v>239</v>
      </c>
      <c r="E1793" s="148">
        <v>7435402.0777707398</v>
      </c>
      <c r="F1793" t="s">
        <v>249</v>
      </c>
      <c r="G1793"/>
    </row>
    <row r="1794" spans="1:7" ht="15.75">
      <c r="A1794" t="str">
        <f t="shared" si="27"/>
        <v>PenthazMazoutCHAUFF</v>
      </c>
      <c r="B1794" s="148">
        <v>5496</v>
      </c>
      <c r="C1794" s="148" t="s">
        <v>538</v>
      </c>
      <c r="D1794" s="148" t="s">
        <v>70</v>
      </c>
      <c r="E1794" s="148">
        <v>3906495.235294119</v>
      </c>
      <c r="F1794" t="s">
        <v>249</v>
      </c>
      <c r="G1794"/>
    </row>
    <row r="1795" spans="1:7" ht="15.75">
      <c r="A1795" t="str">
        <f t="shared" si="27"/>
        <v>PenthazNon renseignéCHAUFF</v>
      </c>
      <c r="B1795" s="148">
        <v>5496</v>
      </c>
      <c r="C1795" s="148" t="s">
        <v>538</v>
      </c>
      <c r="D1795" s="148" t="s">
        <v>696</v>
      </c>
      <c r="E1795" s="148">
        <v>0</v>
      </c>
      <c r="F1795" t="s">
        <v>249</v>
      </c>
      <c r="G1795"/>
    </row>
    <row r="1796" spans="1:7" ht="15.75">
      <c r="A1796" t="str">
        <f t="shared" si="27"/>
        <v>PenthazPACCHAUFF</v>
      </c>
      <c r="B1796" s="148">
        <v>5496</v>
      </c>
      <c r="C1796" s="148" t="s">
        <v>538</v>
      </c>
      <c r="D1796" s="148" t="s">
        <v>69</v>
      </c>
      <c r="E1796" s="148">
        <v>669214.37777772988</v>
      </c>
      <c r="F1796" t="s">
        <v>249</v>
      </c>
      <c r="G1796"/>
    </row>
    <row r="1797" spans="1:7" ht="15.75">
      <c r="A1797" t="str">
        <f t="shared" si="27"/>
        <v>PenthazSolaireCHAUFF</v>
      </c>
      <c r="B1797" s="148">
        <v>5496</v>
      </c>
      <c r="C1797" s="148" t="s">
        <v>538</v>
      </c>
      <c r="D1797" s="148" t="s">
        <v>240</v>
      </c>
      <c r="E1797" s="148" t="e">
        <v>#N/A</v>
      </c>
      <c r="F1797" t="s">
        <v>249</v>
      </c>
      <c r="G1797"/>
    </row>
    <row r="1798" spans="1:7" ht="15.75">
      <c r="A1798" t="str">
        <f t="shared" si="27"/>
        <v>PenthéréazBoisCHAUFF</v>
      </c>
      <c r="B1798" s="148">
        <v>5531</v>
      </c>
      <c r="C1798" s="148" t="s">
        <v>624</v>
      </c>
      <c r="D1798" s="148" t="s">
        <v>66</v>
      </c>
      <c r="E1798" s="148">
        <v>678844.8</v>
      </c>
      <c r="F1798" t="s">
        <v>249</v>
      </c>
      <c r="G1798"/>
    </row>
    <row r="1799" spans="1:7" ht="15.75">
      <c r="A1799" t="str">
        <f t="shared" si="27"/>
        <v>PenthéréazElectricitéCHAUFF</v>
      </c>
      <c r="B1799" s="148">
        <v>5531</v>
      </c>
      <c r="C1799" s="148" t="s">
        <v>624</v>
      </c>
      <c r="D1799" s="148" t="s">
        <v>97</v>
      </c>
      <c r="E1799" s="148">
        <v>997446.23655913002</v>
      </c>
      <c r="F1799" t="s">
        <v>249</v>
      </c>
      <c r="G1799"/>
    </row>
    <row r="1800" spans="1:7" ht="15.75">
      <c r="A1800" t="str">
        <f t="shared" si="27"/>
        <v>PenthéréazGazCHAUFF</v>
      </c>
      <c r="B1800" s="148">
        <v>5531</v>
      </c>
      <c r="C1800" s="148" t="s">
        <v>624</v>
      </c>
      <c r="D1800" s="148" t="s">
        <v>239</v>
      </c>
      <c r="E1800" s="148">
        <v>155629.77089784999</v>
      </c>
      <c r="F1800" t="s">
        <v>249</v>
      </c>
      <c r="G1800"/>
    </row>
    <row r="1801" spans="1:7" ht="15.75">
      <c r="A1801" t="str">
        <f t="shared" si="27"/>
        <v>PenthéréazMazoutCHAUFF</v>
      </c>
      <c r="B1801" s="148">
        <v>5531</v>
      </c>
      <c r="C1801" s="148" t="s">
        <v>624</v>
      </c>
      <c r="D1801" s="148" t="s">
        <v>70</v>
      </c>
      <c r="E1801" s="148">
        <v>3916138.4232708709</v>
      </c>
      <c r="F1801" t="s">
        <v>249</v>
      </c>
      <c r="G1801"/>
    </row>
    <row r="1802" spans="1:7" ht="15.75">
      <c r="A1802" t="str">
        <f t="shared" si="27"/>
        <v>PenthéréazNon renseignéCHAUFF</v>
      </c>
      <c r="B1802" s="148">
        <v>5531</v>
      </c>
      <c r="C1802" s="148" t="s">
        <v>624</v>
      </c>
      <c r="D1802" s="148" t="s">
        <v>696</v>
      </c>
      <c r="E1802" s="148">
        <v>0</v>
      </c>
      <c r="F1802" t="s">
        <v>249</v>
      </c>
      <c r="G1802"/>
    </row>
    <row r="1803" spans="1:7" ht="15.75">
      <c r="A1803" t="str">
        <f t="shared" ref="A1803:A1866" si="28">_xlfn.CONCAT(C1803,D1803,F1803)</f>
        <v>PenthéréazPACCHAUFF</v>
      </c>
      <c r="B1803" s="148">
        <v>5531</v>
      </c>
      <c r="C1803" s="148" t="s">
        <v>624</v>
      </c>
      <c r="D1803" s="148" t="s">
        <v>69</v>
      </c>
      <c r="E1803" s="148">
        <v>344354.57120671013</v>
      </c>
      <c r="F1803" t="s">
        <v>249</v>
      </c>
      <c r="G1803"/>
    </row>
    <row r="1804" spans="1:7" ht="15.75">
      <c r="A1804" t="str">
        <f t="shared" si="28"/>
        <v>PenthéréazSolaireCHAUFF</v>
      </c>
      <c r="B1804" s="148">
        <v>5531</v>
      </c>
      <c r="C1804" s="148" t="s">
        <v>624</v>
      </c>
      <c r="D1804" s="148" t="s">
        <v>240</v>
      </c>
      <c r="E1804" s="148">
        <v>97224.400000000009</v>
      </c>
      <c r="F1804" t="s">
        <v>249</v>
      </c>
      <c r="G1804"/>
    </row>
    <row r="1805" spans="1:7" ht="15.75">
      <c r="A1805" t="str">
        <f t="shared" si="28"/>
        <v>PerroyAutre agent énergétiqueCHAUFF</v>
      </c>
      <c r="B1805" s="148">
        <v>5860</v>
      </c>
      <c r="C1805" s="148" t="s">
        <v>539</v>
      </c>
      <c r="D1805" s="148" t="s">
        <v>245</v>
      </c>
      <c r="E1805" s="148">
        <v>135416.47058823999</v>
      </c>
      <c r="F1805" t="s">
        <v>249</v>
      </c>
      <c r="G1805"/>
    </row>
    <row r="1806" spans="1:7" ht="15.75">
      <c r="A1806" t="str">
        <f t="shared" si="28"/>
        <v>PerroyBoisCHAUFF</v>
      </c>
      <c r="B1806" s="148">
        <v>5860</v>
      </c>
      <c r="C1806" s="148" t="s">
        <v>539</v>
      </c>
      <c r="D1806" s="148" t="s">
        <v>66</v>
      </c>
      <c r="E1806" s="148">
        <v>363509.01960782998</v>
      </c>
      <c r="F1806" t="s">
        <v>249</v>
      </c>
      <c r="G1806"/>
    </row>
    <row r="1807" spans="1:7" ht="15.75">
      <c r="A1807" t="str">
        <f t="shared" si="28"/>
        <v>PerroyCADCHAUFF</v>
      </c>
      <c r="B1807" s="148">
        <v>5860</v>
      </c>
      <c r="C1807" s="148" t="s">
        <v>539</v>
      </c>
      <c r="D1807" s="148" t="s">
        <v>242</v>
      </c>
      <c r="E1807" s="148">
        <v>55017.600000000006</v>
      </c>
      <c r="F1807" t="s">
        <v>249</v>
      </c>
      <c r="G1807"/>
    </row>
    <row r="1808" spans="1:7" ht="15.75">
      <c r="A1808" t="str">
        <f t="shared" si="28"/>
        <v>PerroyElectricitéCHAUFF</v>
      </c>
      <c r="B1808" s="148">
        <v>5860</v>
      </c>
      <c r="C1808" s="148" t="s">
        <v>539</v>
      </c>
      <c r="D1808" s="148" t="s">
        <v>97</v>
      </c>
      <c r="E1808" s="148">
        <v>692896.34408604016</v>
      </c>
      <c r="F1808" t="s">
        <v>249</v>
      </c>
      <c r="G1808"/>
    </row>
    <row r="1809" spans="1:7" ht="15.75">
      <c r="A1809" t="str">
        <f t="shared" si="28"/>
        <v>PerroyGazCHAUFF</v>
      </c>
      <c r="B1809" s="148">
        <v>5860</v>
      </c>
      <c r="C1809" s="148" t="s">
        <v>539</v>
      </c>
      <c r="D1809" s="148" t="s">
        <v>239</v>
      </c>
      <c r="E1809" s="148">
        <v>8831998.841486102</v>
      </c>
      <c r="F1809" t="s">
        <v>249</v>
      </c>
      <c r="G1809"/>
    </row>
    <row r="1810" spans="1:7" ht="15.75">
      <c r="A1810" t="str">
        <f t="shared" si="28"/>
        <v>PerroyMazoutCHAUFF</v>
      </c>
      <c r="B1810" s="148">
        <v>5860</v>
      </c>
      <c r="C1810" s="148" t="s">
        <v>539</v>
      </c>
      <c r="D1810" s="148" t="s">
        <v>70</v>
      </c>
      <c r="E1810" s="148">
        <v>5795231.1286360407</v>
      </c>
      <c r="F1810" t="s">
        <v>249</v>
      </c>
      <c r="G1810"/>
    </row>
    <row r="1811" spans="1:7" ht="15.75">
      <c r="A1811" t="str">
        <f t="shared" si="28"/>
        <v>PerroyNon renseignéCHAUFF</v>
      </c>
      <c r="B1811" s="148">
        <v>5860</v>
      </c>
      <c r="C1811" s="148" t="s">
        <v>539</v>
      </c>
      <c r="D1811" s="148" t="s">
        <v>696</v>
      </c>
      <c r="E1811" s="148">
        <v>0</v>
      </c>
      <c r="F1811" t="s">
        <v>249</v>
      </c>
      <c r="G1811"/>
    </row>
    <row r="1812" spans="1:7" ht="15.75">
      <c r="A1812" t="str">
        <f t="shared" si="28"/>
        <v>PerroyPACCHAUFF</v>
      </c>
      <c r="B1812" s="148">
        <v>5860</v>
      </c>
      <c r="C1812" s="148" t="s">
        <v>539</v>
      </c>
      <c r="D1812" s="148" t="s">
        <v>69</v>
      </c>
      <c r="E1812" s="148">
        <v>299608.7142589899</v>
      </c>
      <c r="F1812" t="s">
        <v>249</v>
      </c>
      <c r="G1812"/>
    </row>
    <row r="1813" spans="1:7" ht="15.75">
      <c r="A1813" t="str">
        <f t="shared" si="28"/>
        <v>PerroySolaireCHAUFF</v>
      </c>
      <c r="B1813" s="148">
        <v>5860</v>
      </c>
      <c r="C1813" s="148" t="s">
        <v>539</v>
      </c>
      <c r="D1813" s="148" t="s">
        <v>240</v>
      </c>
      <c r="E1813" s="148">
        <v>1683.2</v>
      </c>
      <c r="F1813" t="s">
        <v>249</v>
      </c>
      <c r="G1813"/>
    </row>
    <row r="1814" spans="1:7" ht="15.75">
      <c r="A1814" t="str">
        <f t="shared" si="28"/>
        <v>PerroyCharbonCHAUFF</v>
      </c>
      <c r="B1814" s="148">
        <v>5860</v>
      </c>
      <c r="C1814" s="148" t="s">
        <v>539</v>
      </c>
      <c r="D1814" s="148" t="s">
        <v>695</v>
      </c>
      <c r="E1814" s="148" t="e">
        <v>#N/A</v>
      </c>
      <c r="F1814" t="s">
        <v>249</v>
      </c>
      <c r="G1814"/>
    </row>
    <row r="1815" spans="1:7" ht="15.75">
      <c r="A1815" t="str">
        <f t="shared" si="28"/>
        <v>Poliez-PittetBoisCHAUFF</v>
      </c>
      <c r="B1815" s="148">
        <v>5533</v>
      </c>
      <c r="C1815" s="148" t="s">
        <v>540</v>
      </c>
      <c r="D1815" s="148" t="s">
        <v>66</v>
      </c>
      <c r="E1815" s="148">
        <v>946545.52156863001</v>
      </c>
      <c r="F1815" t="s">
        <v>249</v>
      </c>
      <c r="G1815"/>
    </row>
    <row r="1816" spans="1:7" ht="15.75">
      <c r="A1816" t="str">
        <f t="shared" si="28"/>
        <v>Poliez-PittetCharbonCHAUFF</v>
      </c>
      <c r="B1816" s="148">
        <v>5533</v>
      </c>
      <c r="C1816" s="148" t="s">
        <v>540</v>
      </c>
      <c r="D1816" s="148" t="s">
        <v>695</v>
      </c>
      <c r="E1816" s="148" t="e">
        <v>#N/A</v>
      </c>
      <c r="F1816" t="s">
        <v>249</v>
      </c>
      <c r="G1816"/>
    </row>
    <row r="1817" spans="1:7" ht="15.75">
      <c r="A1817" t="str">
        <f t="shared" si="28"/>
        <v>Poliez-PittetElectricitéCHAUFF</v>
      </c>
      <c r="B1817" s="148">
        <v>5533</v>
      </c>
      <c r="C1817" s="148" t="s">
        <v>540</v>
      </c>
      <c r="D1817" s="148" t="s">
        <v>97</v>
      </c>
      <c r="E1817" s="148">
        <v>394086.12903226004</v>
      </c>
      <c r="F1817" t="s">
        <v>249</v>
      </c>
      <c r="G1817"/>
    </row>
    <row r="1818" spans="1:7" ht="15.75">
      <c r="A1818" t="str">
        <f t="shared" si="28"/>
        <v>Poliez-PittetGazCHAUFF</v>
      </c>
      <c r="B1818" s="148">
        <v>5533</v>
      </c>
      <c r="C1818" s="148" t="s">
        <v>540</v>
      </c>
      <c r="D1818" s="148" t="s">
        <v>239</v>
      </c>
      <c r="E1818" s="148">
        <v>2935982.3696594494</v>
      </c>
      <c r="F1818" t="s">
        <v>249</v>
      </c>
      <c r="G1818"/>
    </row>
    <row r="1819" spans="1:7" ht="15.75">
      <c r="A1819" t="str">
        <f t="shared" si="28"/>
        <v>Poliez-PittetMazoutCHAUFF</v>
      </c>
      <c r="B1819" s="148">
        <v>5533</v>
      </c>
      <c r="C1819" s="148" t="s">
        <v>540</v>
      </c>
      <c r="D1819" s="148" t="s">
        <v>70</v>
      </c>
      <c r="E1819" s="148">
        <v>4330763.29411765</v>
      </c>
      <c r="F1819" t="s">
        <v>249</v>
      </c>
      <c r="G1819"/>
    </row>
    <row r="1820" spans="1:7" ht="15.75">
      <c r="A1820" t="str">
        <f t="shared" si="28"/>
        <v>Poliez-PittetNon renseignéCHAUFF</v>
      </c>
      <c r="B1820" s="148">
        <v>5533</v>
      </c>
      <c r="C1820" s="148" t="s">
        <v>540</v>
      </c>
      <c r="D1820" s="148" t="s">
        <v>696</v>
      </c>
      <c r="E1820" s="148">
        <v>0</v>
      </c>
      <c r="F1820" t="s">
        <v>249</v>
      </c>
      <c r="G1820"/>
    </row>
    <row r="1821" spans="1:7" ht="15.75">
      <c r="A1821" t="str">
        <f t="shared" si="28"/>
        <v>Poliez-PittetPACCHAUFF</v>
      </c>
      <c r="B1821" s="148">
        <v>5533</v>
      </c>
      <c r="C1821" s="148" t="s">
        <v>540</v>
      </c>
      <c r="D1821" s="148" t="s">
        <v>69</v>
      </c>
      <c r="E1821" s="148">
        <v>135684.07407407</v>
      </c>
      <c r="F1821" t="s">
        <v>249</v>
      </c>
      <c r="G1821"/>
    </row>
    <row r="1822" spans="1:7" ht="15.75">
      <c r="A1822" t="str">
        <f t="shared" si="28"/>
        <v>Poliez-PittetSolaireCHAUFF</v>
      </c>
      <c r="B1822" s="148">
        <v>5533</v>
      </c>
      <c r="C1822" s="148" t="s">
        <v>540</v>
      </c>
      <c r="D1822" s="148" t="s">
        <v>240</v>
      </c>
      <c r="E1822" s="148" t="e">
        <v>#N/A</v>
      </c>
      <c r="F1822" t="s">
        <v>249</v>
      </c>
      <c r="G1822"/>
    </row>
    <row r="1823" spans="1:7" ht="15.75">
      <c r="A1823" t="str">
        <f t="shared" si="28"/>
        <v>PompaplesBoisCHAUFF</v>
      </c>
      <c r="B1823" s="148">
        <v>5497</v>
      </c>
      <c r="C1823" s="148" t="s">
        <v>541</v>
      </c>
      <c r="D1823" s="148" t="s">
        <v>66</v>
      </c>
      <c r="E1823" s="148">
        <v>407323.46666666999</v>
      </c>
      <c r="F1823" t="s">
        <v>249</v>
      </c>
      <c r="G1823"/>
    </row>
    <row r="1824" spans="1:7" ht="15.75">
      <c r="A1824" t="str">
        <f t="shared" si="28"/>
        <v>PompaplesCADCHAUFF</v>
      </c>
      <c r="B1824" s="148">
        <v>5497</v>
      </c>
      <c r="C1824" s="148" t="s">
        <v>541</v>
      </c>
      <c r="D1824" s="148" t="s">
        <v>242</v>
      </c>
      <c r="E1824" s="148">
        <v>3693663.7499999995</v>
      </c>
      <c r="F1824" t="s">
        <v>249</v>
      </c>
      <c r="G1824"/>
    </row>
    <row r="1825" spans="1:7" ht="15.75">
      <c r="A1825" t="str">
        <f t="shared" si="28"/>
        <v>PompaplesElectricitéCHAUFF</v>
      </c>
      <c r="B1825" s="148">
        <v>5497</v>
      </c>
      <c r="C1825" s="148" t="s">
        <v>541</v>
      </c>
      <c r="D1825" s="148" t="s">
        <v>97</v>
      </c>
      <c r="E1825" s="148">
        <v>1231892.4731182801</v>
      </c>
      <c r="F1825" t="s">
        <v>249</v>
      </c>
      <c r="G1825"/>
    </row>
    <row r="1826" spans="1:7" ht="15.75">
      <c r="A1826" t="str">
        <f t="shared" si="28"/>
        <v>PompaplesGazCHAUFF</v>
      </c>
      <c r="B1826" s="148">
        <v>5497</v>
      </c>
      <c r="C1826" s="148" t="s">
        <v>541</v>
      </c>
      <c r="D1826" s="148" t="s">
        <v>239</v>
      </c>
      <c r="E1826" s="148">
        <v>494009.96160990995</v>
      </c>
      <c r="F1826" t="s">
        <v>249</v>
      </c>
      <c r="G1826"/>
    </row>
    <row r="1827" spans="1:7" ht="15.75">
      <c r="A1827" t="str">
        <f t="shared" si="28"/>
        <v>PompaplesMazoutCHAUFF</v>
      </c>
      <c r="B1827" s="148">
        <v>5497</v>
      </c>
      <c r="C1827" s="148" t="s">
        <v>541</v>
      </c>
      <c r="D1827" s="148" t="s">
        <v>70</v>
      </c>
      <c r="E1827" s="148">
        <v>2936586.0294117699</v>
      </c>
      <c r="F1827" t="s">
        <v>249</v>
      </c>
      <c r="G1827"/>
    </row>
    <row r="1828" spans="1:7" ht="15.75">
      <c r="A1828" t="str">
        <f t="shared" si="28"/>
        <v>PompaplesNon renseignéCHAUFF</v>
      </c>
      <c r="B1828" s="148">
        <v>5497</v>
      </c>
      <c r="C1828" s="148" t="s">
        <v>541</v>
      </c>
      <c r="D1828" s="148" t="s">
        <v>696</v>
      </c>
      <c r="E1828" s="148">
        <v>0</v>
      </c>
      <c r="F1828" t="s">
        <v>249</v>
      </c>
      <c r="G1828"/>
    </row>
    <row r="1829" spans="1:7" ht="15.75">
      <c r="A1829" t="str">
        <f t="shared" si="28"/>
        <v>PompaplesPACCHAUFF</v>
      </c>
      <c r="B1829" s="148">
        <v>5497</v>
      </c>
      <c r="C1829" s="148" t="s">
        <v>541</v>
      </c>
      <c r="D1829" s="148" t="s">
        <v>69</v>
      </c>
      <c r="E1829" s="148">
        <v>193528.77504548</v>
      </c>
      <c r="F1829" t="s">
        <v>249</v>
      </c>
      <c r="G1829"/>
    </row>
    <row r="1830" spans="1:7" ht="15.75">
      <c r="A1830" t="str">
        <f t="shared" si="28"/>
        <v>PompaplesSolaireCHAUFF</v>
      </c>
      <c r="B1830" s="148">
        <v>5497</v>
      </c>
      <c r="C1830" s="148" t="s">
        <v>541</v>
      </c>
      <c r="D1830" s="148" t="s">
        <v>240</v>
      </c>
      <c r="E1830" s="148" t="e">
        <v>#N/A</v>
      </c>
      <c r="F1830" t="s">
        <v>249</v>
      </c>
      <c r="G1830"/>
    </row>
    <row r="1831" spans="1:7" ht="15.75">
      <c r="A1831" t="str">
        <f t="shared" si="28"/>
        <v>PomyBoisCHAUFF</v>
      </c>
      <c r="B1831" s="148">
        <v>5926</v>
      </c>
      <c r="C1831" s="148" t="s">
        <v>542</v>
      </c>
      <c r="D1831" s="148" t="s">
        <v>66</v>
      </c>
      <c r="E1831" s="148">
        <v>479905.99215686001</v>
      </c>
      <c r="F1831" t="s">
        <v>249</v>
      </c>
      <c r="G1831"/>
    </row>
    <row r="1832" spans="1:7" ht="15.75">
      <c r="A1832" t="str">
        <f t="shared" si="28"/>
        <v>PomyCADCHAUFF</v>
      </c>
      <c r="B1832" s="148">
        <v>5926</v>
      </c>
      <c r="C1832" s="148" t="s">
        <v>542</v>
      </c>
      <c r="D1832" s="148" t="s">
        <v>242</v>
      </c>
      <c r="E1832" s="148">
        <v>103611.20000000001</v>
      </c>
      <c r="F1832" t="s">
        <v>249</v>
      </c>
      <c r="G1832"/>
    </row>
    <row r="1833" spans="1:7" ht="15.75">
      <c r="A1833" t="str">
        <f t="shared" si="28"/>
        <v>PomyElectricitéCHAUFF</v>
      </c>
      <c r="B1833" s="148">
        <v>5926</v>
      </c>
      <c r="C1833" s="148" t="s">
        <v>542</v>
      </c>
      <c r="D1833" s="148" t="s">
        <v>97</v>
      </c>
      <c r="E1833" s="148">
        <v>1029314.7046173499</v>
      </c>
      <c r="F1833" t="s">
        <v>249</v>
      </c>
      <c r="G1833"/>
    </row>
    <row r="1834" spans="1:7" ht="15.75">
      <c r="A1834" t="str">
        <f t="shared" si="28"/>
        <v>PomyGazCHAUFF</v>
      </c>
      <c r="B1834" s="148">
        <v>5926</v>
      </c>
      <c r="C1834" s="148" t="s">
        <v>542</v>
      </c>
      <c r="D1834" s="148" t="s">
        <v>239</v>
      </c>
      <c r="E1834" s="148">
        <v>2688892.185758539</v>
      </c>
      <c r="F1834" t="s">
        <v>249</v>
      </c>
      <c r="G1834"/>
    </row>
    <row r="1835" spans="1:7" ht="15.75">
      <c r="A1835" t="str">
        <f t="shared" si="28"/>
        <v>PomyMazoutCHAUFF</v>
      </c>
      <c r="B1835" s="148">
        <v>5926</v>
      </c>
      <c r="C1835" s="148" t="s">
        <v>542</v>
      </c>
      <c r="D1835" s="148" t="s">
        <v>70</v>
      </c>
      <c r="E1835" s="148">
        <v>5687319.5294117192</v>
      </c>
      <c r="F1835" t="s">
        <v>249</v>
      </c>
      <c r="G1835"/>
    </row>
    <row r="1836" spans="1:7" ht="15.75">
      <c r="A1836" t="str">
        <f t="shared" si="28"/>
        <v>PomyNon renseignéCHAUFF</v>
      </c>
      <c r="B1836" s="148">
        <v>5926</v>
      </c>
      <c r="C1836" s="148" t="s">
        <v>542</v>
      </c>
      <c r="D1836" s="148" t="s">
        <v>696</v>
      </c>
      <c r="E1836" s="148">
        <v>0</v>
      </c>
      <c r="F1836" t="s">
        <v>249</v>
      </c>
      <c r="G1836"/>
    </row>
    <row r="1837" spans="1:7" ht="15.75">
      <c r="A1837" t="str">
        <f t="shared" si="28"/>
        <v>PomyPACCHAUFF</v>
      </c>
      <c r="B1837" s="148">
        <v>5926</v>
      </c>
      <c r="C1837" s="148" t="s">
        <v>542</v>
      </c>
      <c r="D1837" s="148" t="s">
        <v>69</v>
      </c>
      <c r="E1837" s="148">
        <v>130383.71314214</v>
      </c>
      <c r="F1837" t="s">
        <v>249</v>
      </c>
      <c r="G1837"/>
    </row>
    <row r="1838" spans="1:7" ht="15.75">
      <c r="A1838" t="str">
        <f t="shared" si="28"/>
        <v>PomyAutre agent énergétiqueCHAUFF</v>
      </c>
      <c r="B1838" s="148">
        <v>5926</v>
      </c>
      <c r="C1838" s="148" t="s">
        <v>542</v>
      </c>
      <c r="D1838" s="148" t="s">
        <v>245</v>
      </c>
      <c r="E1838" s="148" t="e">
        <v>#N/A</v>
      </c>
      <c r="F1838" t="s">
        <v>249</v>
      </c>
      <c r="G1838"/>
    </row>
    <row r="1839" spans="1:7" ht="15.75">
      <c r="A1839" t="str">
        <f t="shared" si="28"/>
        <v>PomySolaireCHAUFF</v>
      </c>
      <c r="B1839" s="148">
        <v>5926</v>
      </c>
      <c r="C1839" s="148" t="s">
        <v>542</v>
      </c>
      <c r="D1839" s="148" t="s">
        <v>240</v>
      </c>
      <c r="E1839" s="148" t="e">
        <v>#N/A</v>
      </c>
      <c r="F1839" t="s">
        <v>249</v>
      </c>
      <c r="G1839"/>
    </row>
    <row r="1840" spans="1:7" ht="15.75">
      <c r="A1840" t="str">
        <f t="shared" si="28"/>
        <v>PranginsAutre agent énergétiqueCHAUFF</v>
      </c>
      <c r="B1840" s="148">
        <v>5725</v>
      </c>
      <c r="C1840" s="148" t="s">
        <v>543</v>
      </c>
      <c r="D1840" s="148" t="s">
        <v>245</v>
      </c>
      <c r="E1840" s="148">
        <v>48155.294117650003</v>
      </c>
      <c r="F1840" t="s">
        <v>249</v>
      </c>
      <c r="G1840"/>
    </row>
    <row r="1841" spans="1:7" ht="15.75">
      <c r="A1841" t="str">
        <f t="shared" si="28"/>
        <v>PranginsBoisCHAUFF</v>
      </c>
      <c r="B1841" s="148">
        <v>5725</v>
      </c>
      <c r="C1841" s="148" t="s">
        <v>543</v>
      </c>
      <c r="D1841" s="148" t="s">
        <v>66</v>
      </c>
      <c r="E1841" s="148">
        <v>509036.29019608005</v>
      </c>
      <c r="F1841" t="s">
        <v>249</v>
      </c>
      <c r="G1841"/>
    </row>
    <row r="1842" spans="1:7" ht="15.75">
      <c r="A1842" t="str">
        <f t="shared" si="28"/>
        <v>PranginsCADCHAUFF</v>
      </c>
      <c r="B1842" s="148">
        <v>5725</v>
      </c>
      <c r="C1842" s="148" t="s">
        <v>543</v>
      </c>
      <c r="D1842" s="148" t="s">
        <v>242</v>
      </c>
      <c r="E1842" s="148">
        <v>315347.20000000001</v>
      </c>
      <c r="F1842" t="s">
        <v>249</v>
      </c>
      <c r="G1842"/>
    </row>
    <row r="1843" spans="1:7" ht="15.75">
      <c r="A1843" t="str">
        <f t="shared" si="28"/>
        <v>PranginsElectricitéCHAUFF</v>
      </c>
      <c r="B1843" s="148">
        <v>5725</v>
      </c>
      <c r="C1843" s="148" t="s">
        <v>543</v>
      </c>
      <c r="D1843" s="148" t="s">
        <v>97</v>
      </c>
      <c r="E1843" s="148">
        <v>4209175.9139784891</v>
      </c>
      <c r="F1843" t="s">
        <v>249</v>
      </c>
      <c r="G1843"/>
    </row>
    <row r="1844" spans="1:7" ht="15.75">
      <c r="A1844" t="str">
        <f t="shared" si="28"/>
        <v>PranginsGazCHAUFF</v>
      </c>
      <c r="B1844" s="148">
        <v>5725</v>
      </c>
      <c r="C1844" s="148" t="s">
        <v>543</v>
      </c>
      <c r="D1844" s="148" t="s">
        <v>239</v>
      </c>
      <c r="E1844" s="148">
        <v>14262213.69535617</v>
      </c>
      <c r="F1844" t="s">
        <v>249</v>
      </c>
      <c r="G1844"/>
    </row>
    <row r="1845" spans="1:7" ht="15.75">
      <c r="A1845" t="str">
        <f t="shared" si="28"/>
        <v>PranginsMazoutCHAUFF</v>
      </c>
      <c r="B1845" s="148">
        <v>5725</v>
      </c>
      <c r="C1845" s="148" t="s">
        <v>543</v>
      </c>
      <c r="D1845" s="148" t="s">
        <v>70</v>
      </c>
      <c r="E1845" s="148">
        <v>17082377.046623088</v>
      </c>
      <c r="F1845" t="s">
        <v>249</v>
      </c>
      <c r="G1845"/>
    </row>
    <row r="1846" spans="1:7" ht="15.75">
      <c r="A1846" t="str">
        <f t="shared" si="28"/>
        <v>PranginsNon renseignéCHAUFF</v>
      </c>
      <c r="B1846" s="148">
        <v>5725</v>
      </c>
      <c r="C1846" s="148" t="s">
        <v>543</v>
      </c>
      <c r="D1846" s="148" t="s">
        <v>696</v>
      </c>
      <c r="E1846" s="148">
        <v>0</v>
      </c>
      <c r="F1846" t="s">
        <v>249</v>
      </c>
      <c r="G1846"/>
    </row>
    <row r="1847" spans="1:7" ht="15.75">
      <c r="A1847" t="str">
        <f t="shared" si="28"/>
        <v>PranginsPACCHAUFF</v>
      </c>
      <c r="B1847" s="148">
        <v>5725</v>
      </c>
      <c r="C1847" s="148" t="s">
        <v>543</v>
      </c>
      <c r="D1847" s="148" t="s">
        <v>69</v>
      </c>
      <c r="E1847" s="148">
        <v>740243.41115260962</v>
      </c>
      <c r="F1847" t="s">
        <v>249</v>
      </c>
      <c r="G1847"/>
    </row>
    <row r="1848" spans="1:7" ht="15.75">
      <c r="A1848" t="str">
        <f t="shared" si="28"/>
        <v>PranginsSolaireCHAUFF</v>
      </c>
      <c r="B1848" s="148">
        <v>5725</v>
      </c>
      <c r="C1848" s="148" t="s">
        <v>543</v>
      </c>
      <c r="D1848" s="148" t="s">
        <v>240</v>
      </c>
      <c r="E1848" s="148" t="e">
        <v>#N/A</v>
      </c>
      <c r="F1848" t="s">
        <v>249</v>
      </c>
      <c r="G1848"/>
    </row>
    <row r="1849" spans="1:7" ht="15.75">
      <c r="A1849" t="str">
        <f t="shared" si="28"/>
        <v>PremierBoisCHAUFF</v>
      </c>
      <c r="B1849" s="148">
        <v>5759</v>
      </c>
      <c r="C1849" s="148" t="s">
        <v>544</v>
      </c>
      <c r="D1849" s="148" t="s">
        <v>66</v>
      </c>
      <c r="E1849" s="148">
        <v>1862081.2815686197</v>
      </c>
      <c r="F1849" t="s">
        <v>249</v>
      </c>
      <c r="G1849"/>
    </row>
    <row r="1850" spans="1:7" ht="15.75">
      <c r="A1850" t="str">
        <f t="shared" si="28"/>
        <v>PremierCADCHAUFF</v>
      </c>
      <c r="B1850" s="148">
        <v>5759</v>
      </c>
      <c r="C1850" s="148" t="s">
        <v>544</v>
      </c>
      <c r="D1850" s="148" t="s">
        <v>242</v>
      </c>
      <c r="E1850" s="148">
        <v>13454.400000000001</v>
      </c>
      <c r="F1850" t="s">
        <v>249</v>
      </c>
      <c r="G1850"/>
    </row>
    <row r="1851" spans="1:7" ht="15.75">
      <c r="A1851" t="str">
        <f t="shared" si="28"/>
        <v>PremierElectricitéCHAUFF</v>
      </c>
      <c r="B1851" s="148">
        <v>5759</v>
      </c>
      <c r="C1851" s="148" t="s">
        <v>544</v>
      </c>
      <c r="D1851" s="148" t="s">
        <v>97</v>
      </c>
      <c r="E1851" s="148">
        <v>595727.52688172006</v>
      </c>
      <c r="F1851" t="s">
        <v>249</v>
      </c>
      <c r="G1851"/>
    </row>
    <row r="1852" spans="1:7" ht="15.75">
      <c r="A1852" t="str">
        <f t="shared" si="28"/>
        <v>PremierMazoutCHAUFF</v>
      </c>
      <c r="B1852" s="148">
        <v>5759</v>
      </c>
      <c r="C1852" s="148" t="s">
        <v>544</v>
      </c>
      <c r="D1852" s="148" t="s">
        <v>70</v>
      </c>
      <c r="E1852" s="148">
        <v>1388472.2352941199</v>
      </c>
      <c r="F1852" t="s">
        <v>249</v>
      </c>
      <c r="G1852"/>
    </row>
    <row r="1853" spans="1:7" ht="15.75">
      <c r="A1853" t="str">
        <f t="shared" si="28"/>
        <v>PremierNon renseignéCHAUFF</v>
      </c>
      <c r="B1853" s="148">
        <v>5759</v>
      </c>
      <c r="C1853" s="148" t="s">
        <v>544</v>
      </c>
      <c r="D1853" s="148" t="s">
        <v>696</v>
      </c>
      <c r="E1853" s="148">
        <v>0</v>
      </c>
      <c r="F1853" t="s">
        <v>249</v>
      </c>
      <c r="G1853"/>
    </row>
    <row r="1854" spans="1:7" ht="15.75">
      <c r="A1854" t="str">
        <f t="shared" si="28"/>
        <v>PremierPACCHAUFF</v>
      </c>
      <c r="B1854" s="148">
        <v>5759</v>
      </c>
      <c r="C1854" s="148" t="s">
        <v>544</v>
      </c>
      <c r="D1854" s="148" t="s">
        <v>69</v>
      </c>
      <c r="E1854" s="148">
        <v>18722.122383260001</v>
      </c>
      <c r="F1854" t="s">
        <v>249</v>
      </c>
      <c r="G1854"/>
    </row>
    <row r="1855" spans="1:7" ht="15.75">
      <c r="A1855" t="str">
        <f t="shared" si="28"/>
        <v>PremierSolaireCHAUFF</v>
      </c>
      <c r="B1855" s="148">
        <v>5759</v>
      </c>
      <c r="C1855" s="148" t="s">
        <v>544</v>
      </c>
      <c r="D1855" s="148" t="s">
        <v>240</v>
      </c>
      <c r="E1855" s="148" t="e">
        <v>#N/A</v>
      </c>
      <c r="F1855" t="s">
        <v>249</v>
      </c>
      <c r="G1855"/>
    </row>
    <row r="1856" spans="1:7" ht="15.75">
      <c r="A1856" t="str">
        <f t="shared" si="28"/>
        <v>PréverengesAutre agent énergétiqueCHAUFF</v>
      </c>
      <c r="B1856" s="148">
        <v>5643</v>
      </c>
      <c r="C1856" s="148" t="s">
        <v>623</v>
      </c>
      <c r="D1856" s="148" t="s">
        <v>245</v>
      </c>
      <c r="E1856" s="148" t="e">
        <v>#N/A</v>
      </c>
      <c r="F1856" t="s">
        <v>249</v>
      </c>
      <c r="G1856"/>
    </row>
    <row r="1857" spans="1:7" ht="15.75">
      <c r="A1857" t="str">
        <f t="shared" si="28"/>
        <v>PréverengesBoisCHAUFF</v>
      </c>
      <c r="B1857" s="148">
        <v>5643</v>
      </c>
      <c r="C1857" s="148" t="s">
        <v>623</v>
      </c>
      <c r="D1857" s="148" t="s">
        <v>66</v>
      </c>
      <c r="E1857" s="148">
        <v>349576.75294118002</v>
      </c>
      <c r="F1857" t="s">
        <v>249</v>
      </c>
      <c r="G1857"/>
    </row>
    <row r="1858" spans="1:7" ht="15.75">
      <c r="A1858" t="str">
        <f t="shared" si="28"/>
        <v>PréverengesCADCHAUFF</v>
      </c>
      <c r="B1858" s="148">
        <v>5643</v>
      </c>
      <c r="C1858" s="148" t="s">
        <v>623</v>
      </c>
      <c r="D1858" s="148" t="s">
        <v>242</v>
      </c>
      <c r="E1858" s="148">
        <v>280618</v>
      </c>
      <c r="F1858" t="s">
        <v>249</v>
      </c>
      <c r="G1858"/>
    </row>
    <row r="1859" spans="1:7" ht="15.75">
      <c r="A1859" t="str">
        <f t="shared" si="28"/>
        <v>PréverengesElectricitéCHAUFF</v>
      </c>
      <c r="B1859" s="148">
        <v>5643</v>
      </c>
      <c r="C1859" s="148" t="s">
        <v>623</v>
      </c>
      <c r="D1859" s="148" t="s">
        <v>97</v>
      </c>
      <c r="E1859" s="148">
        <v>2087671.14484502</v>
      </c>
      <c r="F1859" t="s">
        <v>249</v>
      </c>
      <c r="G1859"/>
    </row>
    <row r="1860" spans="1:7" ht="15.75">
      <c r="A1860" t="str">
        <f t="shared" si="28"/>
        <v>PréverengesGazCHAUFF</v>
      </c>
      <c r="B1860" s="148">
        <v>5643</v>
      </c>
      <c r="C1860" s="148" t="s">
        <v>623</v>
      </c>
      <c r="D1860" s="148" t="s">
        <v>239</v>
      </c>
      <c r="E1860" s="148">
        <v>22782235.124767885</v>
      </c>
      <c r="F1860" t="s">
        <v>249</v>
      </c>
      <c r="G1860"/>
    </row>
    <row r="1861" spans="1:7" ht="15.75">
      <c r="A1861" t="str">
        <f t="shared" si="28"/>
        <v>PréverengesMazoutCHAUFF</v>
      </c>
      <c r="B1861" s="148">
        <v>5643</v>
      </c>
      <c r="C1861" s="148" t="s">
        <v>623</v>
      </c>
      <c r="D1861" s="148" t="s">
        <v>70</v>
      </c>
      <c r="E1861" s="148">
        <v>11159989.858823504</v>
      </c>
      <c r="F1861" t="s">
        <v>249</v>
      </c>
      <c r="G1861"/>
    </row>
    <row r="1862" spans="1:7" ht="15.75">
      <c r="A1862" t="str">
        <f t="shared" si="28"/>
        <v>PréverengesNon renseignéCHAUFF</v>
      </c>
      <c r="B1862" s="148">
        <v>5643</v>
      </c>
      <c r="C1862" s="148" t="s">
        <v>623</v>
      </c>
      <c r="D1862" s="148" t="s">
        <v>696</v>
      </c>
      <c r="E1862" s="148">
        <v>0</v>
      </c>
      <c r="F1862" t="s">
        <v>249</v>
      </c>
      <c r="G1862"/>
    </row>
    <row r="1863" spans="1:7" ht="15.75">
      <c r="A1863" t="str">
        <f t="shared" si="28"/>
        <v>PréverengesPACCHAUFF</v>
      </c>
      <c r="B1863" s="148">
        <v>5643</v>
      </c>
      <c r="C1863" s="148" t="s">
        <v>623</v>
      </c>
      <c r="D1863" s="148" t="s">
        <v>69</v>
      </c>
      <c r="E1863" s="148">
        <v>435799.80274270999</v>
      </c>
      <c r="F1863" t="s">
        <v>249</v>
      </c>
      <c r="G1863"/>
    </row>
    <row r="1864" spans="1:7" ht="15.75">
      <c r="A1864" t="str">
        <f t="shared" si="28"/>
        <v>PréverengesSolaireCHAUFF</v>
      </c>
      <c r="B1864" s="148">
        <v>5643</v>
      </c>
      <c r="C1864" s="148" t="s">
        <v>623</v>
      </c>
      <c r="D1864" s="148" t="s">
        <v>240</v>
      </c>
      <c r="E1864" s="148">
        <v>36340.129999999997</v>
      </c>
      <c r="F1864" t="s">
        <v>249</v>
      </c>
      <c r="G1864"/>
    </row>
    <row r="1865" spans="1:7" ht="15.75">
      <c r="A1865" t="str">
        <f t="shared" si="28"/>
        <v>PrévonloupBoisCHAUFF</v>
      </c>
      <c r="B1865" s="148">
        <v>5683</v>
      </c>
      <c r="C1865" s="148" t="s">
        <v>622</v>
      </c>
      <c r="D1865" s="148" t="s">
        <v>66</v>
      </c>
      <c r="E1865" s="148">
        <v>364376.05925925996</v>
      </c>
      <c r="F1865" t="s">
        <v>249</v>
      </c>
      <c r="G1865"/>
    </row>
    <row r="1866" spans="1:7" ht="15.75">
      <c r="A1866" t="str">
        <f t="shared" si="28"/>
        <v>PrévonloupElectricitéCHAUFF</v>
      </c>
      <c r="B1866" s="148">
        <v>5683</v>
      </c>
      <c r="C1866" s="148" t="s">
        <v>622</v>
      </c>
      <c r="D1866" s="148" t="s">
        <v>97</v>
      </c>
      <c r="E1866" s="148">
        <v>161907.74193548001</v>
      </c>
      <c r="F1866" t="s">
        <v>249</v>
      </c>
      <c r="G1866"/>
    </row>
    <row r="1867" spans="1:7" ht="15.75">
      <c r="A1867" t="str">
        <f t="shared" ref="A1867:A1930" si="29">_xlfn.CONCAT(C1867,D1867,F1867)</f>
        <v>PrévonloupGazCHAUFF</v>
      </c>
      <c r="B1867" s="148">
        <v>5683</v>
      </c>
      <c r="C1867" s="148" t="s">
        <v>622</v>
      </c>
      <c r="D1867" s="148" t="s">
        <v>239</v>
      </c>
      <c r="E1867" s="148">
        <v>542002.04334365996</v>
      </c>
      <c r="F1867" t="s">
        <v>249</v>
      </c>
      <c r="G1867"/>
    </row>
    <row r="1868" spans="1:7" ht="15.75">
      <c r="A1868" t="str">
        <f t="shared" si="29"/>
        <v>PrévonloupMazoutCHAUFF</v>
      </c>
      <c r="B1868" s="148">
        <v>5683</v>
      </c>
      <c r="C1868" s="148" t="s">
        <v>622</v>
      </c>
      <c r="D1868" s="148" t="s">
        <v>70</v>
      </c>
      <c r="E1868" s="148">
        <v>2068306.5882352998</v>
      </c>
      <c r="F1868" t="s">
        <v>249</v>
      </c>
      <c r="G1868"/>
    </row>
    <row r="1869" spans="1:7" ht="15.75">
      <c r="A1869" t="str">
        <f t="shared" si="29"/>
        <v>PrévonloupNon renseignéCHAUFF</v>
      </c>
      <c r="B1869" s="148">
        <v>5683</v>
      </c>
      <c r="C1869" s="148" t="s">
        <v>622</v>
      </c>
      <c r="D1869" s="148" t="s">
        <v>696</v>
      </c>
      <c r="E1869" s="148">
        <v>0</v>
      </c>
      <c r="F1869" t="s">
        <v>249</v>
      </c>
      <c r="G1869"/>
    </row>
    <row r="1870" spans="1:7" ht="15.75">
      <c r="A1870" t="str">
        <f t="shared" si="29"/>
        <v>PrévonloupPACCHAUFF</v>
      </c>
      <c r="B1870" s="148">
        <v>5683</v>
      </c>
      <c r="C1870" s="148" t="s">
        <v>622</v>
      </c>
      <c r="D1870" s="148" t="s">
        <v>69</v>
      </c>
      <c r="E1870" s="148">
        <v>47867.629629640003</v>
      </c>
      <c r="F1870" t="s">
        <v>249</v>
      </c>
      <c r="G1870"/>
    </row>
    <row r="1871" spans="1:7" ht="15.75">
      <c r="A1871" t="str">
        <f t="shared" si="29"/>
        <v>PrévonloupSolaireCHAUFF</v>
      </c>
      <c r="B1871" s="148">
        <v>5683</v>
      </c>
      <c r="C1871" s="148" t="s">
        <v>622</v>
      </c>
      <c r="D1871" s="148" t="s">
        <v>240</v>
      </c>
      <c r="E1871" s="148" t="e">
        <v>#N/A</v>
      </c>
      <c r="F1871" t="s">
        <v>249</v>
      </c>
      <c r="G1871"/>
    </row>
    <row r="1872" spans="1:7" ht="15.75">
      <c r="A1872" t="str">
        <f t="shared" si="29"/>
        <v>PrillyAutre agent énergétiqueCHAUFF</v>
      </c>
      <c r="B1872" s="148">
        <v>5589</v>
      </c>
      <c r="C1872" s="148" t="s">
        <v>545</v>
      </c>
      <c r="D1872" s="148" t="s">
        <v>245</v>
      </c>
      <c r="E1872" s="148">
        <v>192286.11764706002</v>
      </c>
      <c r="F1872" t="s">
        <v>249</v>
      </c>
      <c r="G1872"/>
    </row>
    <row r="1873" spans="1:7" ht="15.75">
      <c r="A1873" t="str">
        <f t="shared" si="29"/>
        <v>PrillyBoisCHAUFF</v>
      </c>
      <c r="B1873" s="148">
        <v>5589</v>
      </c>
      <c r="C1873" s="148" t="s">
        <v>545</v>
      </c>
      <c r="D1873" s="148" t="s">
        <v>66</v>
      </c>
      <c r="E1873" s="148">
        <v>1351237.6156862599</v>
      </c>
      <c r="F1873" t="s">
        <v>249</v>
      </c>
      <c r="G1873"/>
    </row>
    <row r="1874" spans="1:7" ht="15.75">
      <c r="A1874" t="str">
        <f t="shared" si="29"/>
        <v>PrillyCADCHAUFF</v>
      </c>
      <c r="B1874" s="148">
        <v>5589</v>
      </c>
      <c r="C1874" s="148" t="s">
        <v>545</v>
      </c>
      <c r="D1874" s="148" t="s">
        <v>242</v>
      </c>
      <c r="E1874" s="148">
        <v>15260513.158823531</v>
      </c>
      <c r="F1874" t="s">
        <v>249</v>
      </c>
      <c r="G1874"/>
    </row>
    <row r="1875" spans="1:7" ht="15.75">
      <c r="A1875" t="str">
        <f t="shared" si="29"/>
        <v>PrillyElectricitéCHAUFF</v>
      </c>
      <c r="B1875" s="148">
        <v>5589</v>
      </c>
      <c r="C1875" s="148" t="s">
        <v>545</v>
      </c>
      <c r="D1875" s="148" t="s">
        <v>97</v>
      </c>
      <c r="E1875" s="148">
        <v>520345.80645161</v>
      </c>
      <c r="F1875" t="s">
        <v>249</v>
      </c>
      <c r="G1875"/>
    </row>
    <row r="1876" spans="1:7" ht="15.75">
      <c r="A1876" t="str">
        <f t="shared" si="29"/>
        <v>PrillyGazCHAUFF</v>
      </c>
      <c r="B1876" s="148">
        <v>5589</v>
      </c>
      <c r="C1876" s="148" t="s">
        <v>545</v>
      </c>
      <c r="D1876" s="148" t="s">
        <v>239</v>
      </c>
      <c r="E1876" s="148">
        <v>31579502.165944319</v>
      </c>
      <c r="F1876" t="s">
        <v>249</v>
      </c>
      <c r="G1876"/>
    </row>
    <row r="1877" spans="1:7" ht="15.75">
      <c r="A1877" t="str">
        <f t="shared" si="29"/>
        <v>PrillyMazoutCHAUFF</v>
      </c>
      <c r="B1877" s="148">
        <v>5589</v>
      </c>
      <c r="C1877" s="148" t="s">
        <v>545</v>
      </c>
      <c r="D1877" s="148" t="s">
        <v>70</v>
      </c>
      <c r="E1877" s="148">
        <v>42504645.235294096</v>
      </c>
      <c r="F1877" t="s">
        <v>249</v>
      </c>
      <c r="G1877"/>
    </row>
    <row r="1878" spans="1:7" ht="15.75">
      <c r="A1878" t="str">
        <f t="shared" si="29"/>
        <v>PrillyNon renseignéCHAUFF</v>
      </c>
      <c r="B1878" s="148">
        <v>5589</v>
      </c>
      <c r="C1878" s="148" t="s">
        <v>545</v>
      </c>
      <c r="D1878" s="148" t="s">
        <v>696</v>
      </c>
      <c r="E1878" s="148">
        <v>0</v>
      </c>
      <c r="F1878" t="s">
        <v>249</v>
      </c>
      <c r="G1878"/>
    </row>
    <row r="1879" spans="1:7" ht="15.75">
      <c r="A1879" t="str">
        <f t="shared" si="29"/>
        <v>PrillyPACCHAUFF</v>
      </c>
      <c r="B1879" s="148">
        <v>5589</v>
      </c>
      <c r="C1879" s="148" t="s">
        <v>545</v>
      </c>
      <c r="D1879" s="148" t="s">
        <v>69</v>
      </c>
      <c r="E1879" s="148">
        <v>302367.52729366993</v>
      </c>
      <c r="F1879" t="s">
        <v>249</v>
      </c>
      <c r="G1879"/>
    </row>
    <row r="1880" spans="1:7" ht="15.75">
      <c r="A1880" t="str">
        <f t="shared" si="29"/>
        <v>PrillySolaireCHAUFF</v>
      </c>
      <c r="B1880" s="148">
        <v>5589</v>
      </c>
      <c r="C1880" s="148" t="s">
        <v>545</v>
      </c>
      <c r="D1880" s="148" t="s">
        <v>240</v>
      </c>
      <c r="E1880" s="148">
        <v>79100</v>
      </c>
      <c r="F1880" t="s">
        <v>249</v>
      </c>
      <c r="G1880"/>
    </row>
    <row r="1881" spans="1:7" ht="15.75">
      <c r="A1881" t="str">
        <f t="shared" si="29"/>
        <v>PrillyCharbonCHAUFF</v>
      </c>
      <c r="B1881" s="148">
        <v>5589</v>
      </c>
      <c r="C1881" s="148" t="s">
        <v>545</v>
      </c>
      <c r="D1881" s="148" t="s">
        <v>695</v>
      </c>
      <c r="E1881" s="148" t="e">
        <v>#N/A</v>
      </c>
      <c r="F1881" t="s">
        <v>249</v>
      </c>
      <c r="G1881"/>
    </row>
    <row r="1882" spans="1:7" ht="15.75">
      <c r="A1882" t="str">
        <f t="shared" si="29"/>
        <v>ProvenceBoisCHAUFF</v>
      </c>
      <c r="B1882" s="148">
        <v>5566</v>
      </c>
      <c r="C1882" s="148" t="s">
        <v>546</v>
      </c>
      <c r="D1882" s="148" t="s">
        <v>66</v>
      </c>
      <c r="E1882" s="148">
        <v>3966748.2862745393</v>
      </c>
      <c r="F1882" t="s">
        <v>249</v>
      </c>
      <c r="G1882"/>
    </row>
    <row r="1883" spans="1:7" ht="15.75">
      <c r="A1883" t="str">
        <f t="shared" si="29"/>
        <v>ProvenceCADCHAUFF</v>
      </c>
      <c r="B1883" s="148">
        <v>5566</v>
      </c>
      <c r="C1883" s="148" t="s">
        <v>546</v>
      </c>
      <c r="D1883" s="148" t="s">
        <v>242</v>
      </c>
      <c r="E1883" s="148">
        <v>56637.479999999996</v>
      </c>
      <c r="F1883" t="s">
        <v>249</v>
      </c>
      <c r="G1883"/>
    </row>
    <row r="1884" spans="1:7" ht="15.75">
      <c r="A1884" t="str">
        <f t="shared" si="29"/>
        <v>ProvenceElectricitéCHAUFF</v>
      </c>
      <c r="B1884" s="148">
        <v>5566</v>
      </c>
      <c r="C1884" s="148" t="s">
        <v>546</v>
      </c>
      <c r="D1884" s="148" t="s">
        <v>97</v>
      </c>
      <c r="E1884" s="148">
        <v>721718.70967741008</v>
      </c>
      <c r="F1884" t="s">
        <v>249</v>
      </c>
      <c r="G1884"/>
    </row>
    <row r="1885" spans="1:7" ht="15.75">
      <c r="A1885" t="str">
        <f t="shared" si="29"/>
        <v>ProvenceGazCHAUFF</v>
      </c>
      <c r="B1885" s="148">
        <v>5566</v>
      </c>
      <c r="C1885" s="148" t="s">
        <v>546</v>
      </c>
      <c r="D1885" s="148" t="s">
        <v>239</v>
      </c>
      <c r="E1885" s="148">
        <v>151333.64705883001</v>
      </c>
      <c r="F1885" t="s">
        <v>249</v>
      </c>
      <c r="G1885"/>
    </row>
    <row r="1886" spans="1:7" ht="15.75">
      <c r="A1886" t="str">
        <f t="shared" si="29"/>
        <v>ProvenceMazoutCHAUFF</v>
      </c>
      <c r="B1886" s="148">
        <v>5566</v>
      </c>
      <c r="C1886" s="148" t="s">
        <v>546</v>
      </c>
      <c r="D1886" s="148" t="s">
        <v>70</v>
      </c>
      <c r="E1886" s="148">
        <v>2595438.7058823793</v>
      </c>
      <c r="F1886" t="s">
        <v>249</v>
      </c>
      <c r="G1886"/>
    </row>
    <row r="1887" spans="1:7" ht="15.75">
      <c r="A1887" t="str">
        <f t="shared" si="29"/>
        <v>ProvenceNon renseignéCHAUFF</v>
      </c>
      <c r="B1887" s="148">
        <v>5566</v>
      </c>
      <c r="C1887" s="148" t="s">
        <v>546</v>
      </c>
      <c r="D1887" s="148" t="s">
        <v>696</v>
      </c>
      <c r="E1887" s="148">
        <v>0</v>
      </c>
      <c r="F1887" t="s">
        <v>249</v>
      </c>
      <c r="G1887"/>
    </row>
    <row r="1888" spans="1:7" ht="15.75">
      <c r="A1888" t="str">
        <f t="shared" si="29"/>
        <v>ProvencePACCHAUFF</v>
      </c>
      <c r="B1888" s="148">
        <v>5566</v>
      </c>
      <c r="C1888" s="148" t="s">
        <v>546</v>
      </c>
      <c r="D1888" s="148" t="s">
        <v>69</v>
      </c>
      <c r="E1888" s="148">
        <v>55673.629629629999</v>
      </c>
      <c r="F1888" t="s">
        <v>249</v>
      </c>
      <c r="G1888"/>
    </row>
    <row r="1889" spans="1:7" ht="15.75">
      <c r="A1889" t="str">
        <f t="shared" si="29"/>
        <v>ProvenceSolaireCHAUFF</v>
      </c>
      <c r="B1889" s="148">
        <v>5566</v>
      </c>
      <c r="C1889" s="148" t="s">
        <v>546</v>
      </c>
      <c r="D1889" s="148" t="s">
        <v>240</v>
      </c>
      <c r="E1889" s="148">
        <v>7585</v>
      </c>
      <c r="F1889" t="s">
        <v>249</v>
      </c>
      <c r="G1889"/>
    </row>
    <row r="1890" spans="1:7" ht="15.75">
      <c r="A1890" t="str">
        <f t="shared" si="29"/>
        <v>PuidouxAutre agent énergétiqueCHAUFF</v>
      </c>
      <c r="B1890" s="148">
        <v>5607</v>
      </c>
      <c r="C1890" s="148" t="s">
        <v>547</v>
      </c>
      <c r="D1890" s="148" t="s">
        <v>245</v>
      </c>
      <c r="E1890" s="148">
        <v>2984.4705882399999</v>
      </c>
      <c r="F1890" t="s">
        <v>249</v>
      </c>
      <c r="G1890"/>
    </row>
    <row r="1891" spans="1:7" ht="15.75">
      <c r="A1891" t="str">
        <f t="shared" si="29"/>
        <v>PuidouxBoisCHAUFF</v>
      </c>
      <c r="B1891" s="148">
        <v>5607</v>
      </c>
      <c r="C1891" s="148" t="s">
        <v>547</v>
      </c>
      <c r="D1891" s="148" t="s">
        <v>66</v>
      </c>
      <c r="E1891" s="148">
        <v>7794535.3349019429</v>
      </c>
      <c r="F1891" t="s">
        <v>249</v>
      </c>
      <c r="G1891"/>
    </row>
    <row r="1892" spans="1:7" ht="15.75">
      <c r="A1892" t="str">
        <f t="shared" si="29"/>
        <v>PuidouxCADCHAUFF</v>
      </c>
      <c r="B1892" s="148">
        <v>5607</v>
      </c>
      <c r="C1892" s="148" t="s">
        <v>547</v>
      </c>
      <c r="D1892" s="148" t="s">
        <v>242</v>
      </c>
      <c r="E1892" s="148">
        <v>1009962.5</v>
      </c>
      <c r="F1892" t="s">
        <v>249</v>
      </c>
      <c r="G1892"/>
    </row>
    <row r="1893" spans="1:7" ht="15.75">
      <c r="A1893" t="str">
        <f t="shared" si="29"/>
        <v>PuidouxElectricitéCHAUFF</v>
      </c>
      <c r="B1893" s="148">
        <v>5607</v>
      </c>
      <c r="C1893" s="148" t="s">
        <v>547</v>
      </c>
      <c r="D1893" s="148" t="s">
        <v>97</v>
      </c>
      <c r="E1893" s="148">
        <v>2883326.8817204195</v>
      </c>
      <c r="F1893" t="s">
        <v>249</v>
      </c>
      <c r="G1893"/>
    </row>
    <row r="1894" spans="1:7" ht="15.75">
      <c r="A1894" t="str">
        <f t="shared" si="29"/>
        <v>PuidouxGazCHAUFF</v>
      </c>
      <c r="B1894" s="148">
        <v>5607</v>
      </c>
      <c r="C1894" s="148" t="s">
        <v>547</v>
      </c>
      <c r="D1894" s="148" t="s">
        <v>239</v>
      </c>
      <c r="E1894" s="148">
        <v>11079443.944272479</v>
      </c>
      <c r="F1894" t="s">
        <v>249</v>
      </c>
      <c r="G1894"/>
    </row>
    <row r="1895" spans="1:7" ht="15.75">
      <c r="A1895" t="str">
        <f t="shared" si="29"/>
        <v>PuidouxMazoutCHAUFF</v>
      </c>
      <c r="B1895" s="148">
        <v>5607</v>
      </c>
      <c r="C1895" s="148" t="s">
        <v>547</v>
      </c>
      <c r="D1895" s="148" t="s">
        <v>70</v>
      </c>
      <c r="E1895" s="148">
        <v>16045843.905882375</v>
      </c>
      <c r="F1895" t="s">
        <v>249</v>
      </c>
      <c r="G1895"/>
    </row>
    <row r="1896" spans="1:7" ht="15.75">
      <c r="A1896" t="str">
        <f t="shared" si="29"/>
        <v>PuidouxNon renseignéCHAUFF</v>
      </c>
      <c r="B1896" s="148">
        <v>5607</v>
      </c>
      <c r="C1896" s="148" t="s">
        <v>547</v>
      </c>
      <c r="D1896" s="148" t="s">
        <v>696</v>
      </c>
      <c r="E1896" s="148">
        <v>0</v>
      </c>
      <c r="F1896" t="s">
        <v>249</v>
      </c>
      <c r="G1896"/>
    </row>
    <row r="1897" spans="1:7" ht="15.75">
      <c r="A1897" t="str">
        <f t="shared" si="29"/>
        <v>PuidouxPACCHAUFF</v>
      </c>
      <c r="B1897" s="148">
        <v>5607</v>
      </c>
      <c r="C1897" s="148" t="s">
        <v>547</v>
      </c>
      <c r="D1897" s="148" t="s">
        <v>69</v>
      </c>
      <c r="E1897" s="148">
        <v>251696.22951104</v>
      </c>
      <c r="F1897" t="s">
        <v>249</v>
      </c>
      <c r="G1897"/>
    </row>
    <row r="1898" spans="1:7" ht="15.75">
      <c r="A1898" t="str">
        <f t="shared" si="29"/>
        <v>PuidouxSolaireCHAUFF</v>
      </c>
      <c r="B1898" s="148">
        <v>5607</v>
      </c>
      <c r="C1898" s="148" t="s">
        <v>547</v>
      </c>
      <c r="D1898" s="148" t="s">
        <v>240</v>
      </c>
      <c r="E1898" s="148">
        <v>144151.4</v>
      </c>
      <c r="F1898" t="s">
        <v>249</v>
      </c>
      <c r="G1898"/>
    </row>
    <row r="1899" spans="1:7" ht="15.75">
      <c r="A1899" t="str">
        <f t="shared" si="29"/>
        <v>PullyAutre agent énergétiqueCHAUFF</v>
      </c>
      <c r="B1899" s="148">
        <v>5590</v>
      </c>
      <c r="C1899" s="148" t="s">
        <v>548</v>
      </c>
      <c r="D1899" s="148" t="s">
        <v>245</v>
      </c>
      <c r="E1899" s="148">
        <v>149127.52941177</v>
      </c>
      <c r="F1899" t="s">
        <v>249</v>
      </c>
      <c r="G1899"/>
    </row>
    <row r="1900" spans="1:7" ht="15.75">
      <c r="A1900" t="str">
        <f t="shared" si="29"/>
        <v>PullyBoisCHAUFF</v>
      </c>
      <c r="B1900" s="148">
        <v>5590</v>
      </c>
      <c r="C1900" s="148" t="s">
        <v>548</v>
      </c>
      <c r="D1900" s="148" t="s">
        <v>66</v>
      </c>
      <c r="E1900" s="148">
        <v>545767.85882352001</v>
      </c>
      <c r="F1900" t="s">
        <v>249</v>
      </c>
      <c r="G1900"/>
    </row>
    <row r="1901" spans="1:7" ht="15.75">
      <c r="A1901" t="str">
        <f t="shared" si="29"/>
        <v>PullyCADCHAUFF</v>
      </c>
      <c r="B1901" s="148">
        <v>5590</v>
      </c>
      <c r="C1901" s="148" t="s">
        <v>548</v>
      </c>
      <c r="D1901" s="148" t="s">
        <v>242</v>
      </c>
      <c r="E1901" s="148">
        <v>379608</v>
      </c>
      <c r="F1901" t="s">
        <v>249</v>
      </c>
      <c r="G1901"/>
    </row>
    <row r="1902" spans="1:7" ht="15.75">
      <c r="A1902" t="str">
        <f t="shared" si="29"/>
        <v>PullyElectricitéCHAUFF</v>
      </c>
      <c r="B1902" s="148">
        <v>5590</v>
      </c>
      <c r="C1902" s="148" t="s">
        <v>548</v>
      </c>
      <c r="D1902" s="148" t="s">
        <v>97</v>
      </c>
      <c r="E1902" s="148">
        <v>1412313.3333333398</v>
      </c>
      <c r="F1902" t="s">
        <v>249</v>
      </c>
      <c r="G1902"/>
    </row>
    <row r="1903" spans="1:7" ht="15.75">
      <c r="A1903" t="str">
        <f t="shared" si="29"/>
        <v>PullyGazCHAUFF</v>
      </c>
      <c r="B1903" s="148">
        <v>5590</v>
      </c>
      <c r="C1903" s="148" t="s">
        <v>548</v>
      </c>
      <c r="D1903" s="148" t="s">
        <v>239</v>
      </c>
      <c r="E1903" s="148">
        <v>95509380.258930057</v>
      </c>
      <c r="F1903" t="s">
        <v>249</v>
      </c>
      <c r="G1903"/>
    </row>
    <row r="1904" spans="1:7" ht="15.75">
      <c r="A1904" t="str">
        <f t="shared" si="29"/>
        <v>PullyMazoutCHAUFF</v>
      </c>
      <c r="B1904" s="148">
        <v>5590</v>
      </c>
      <c r="C1904" s="148" t="s">
        <v>548</v>
      </c>
      <c r="D1904" s="148" t="s">
        <v>70</v>
      </c>
      <c r="E1904" s="148">
        <v>78742255.482353061</v>
      </c>
      <c r="F1904" t="s">
        <v>249</v>
      </c>
      <c r="G1904"/>
    </row>
    <row r="1905" spans="1:7" ht="15.75">
      <c r="A1905" t="str">
        <f t="shared" si="29"/>
        <v>PullyNon renseignéCHAUFF</v>
      </c>
      <c r="B1905" s="148">
        <v>5590</v>
      </c>
      <c r="C1905" s="148" t="s">
        <v>548</v>
      </c>
      <c r="D1905" s="148" t="s">
        <v>696</v>
      </c>
      <c r="E1905" s="148">
        <v>0</v>
      </c>
      <c r="F1905" t="s">
        <v>249</v>
      </c>
      <c r="G1905"/>
    </row>
    <row r="1906" spans="1:7" ht="15.75">
      <c r="A1906" t="str">
        <f t="shared" si="29"/>
        <v>PullyPACCHAUFF</v>
      </c>
      <c r="B1906" s="148">
        <v>5590</v>
      </c>
      <c r="C1906" s="148" t="s">
        <v>548</v>
      </c>
      <c r="D1906" s="148" t="s">
        <v>69</v>
      </c>
      <c r="E1906" s="148">
        <v>1690748.4165062699</v>
      </c>
      <c r="F1906" t="s">
        <v>249</v>
      </c>
      <c r="G1906"/>
    </row>
    <row r="1907" spans="1:7" ht="15.75">
      <c r="A1907" t="str">
        <f t="shared" si="29"/>
        <v>PullySolaireCHAUFF</v>
      </c>
      <c r="B1907" s="148">
        <v>5590</v>
      </c>
      <c r="C1907" s="148" t="s">
        <v>548</v>
      </c>
      <c r="D1907" s="148" t="s">
        <v>240</v>
      </c>
      <c r="E1907" s="148" t="e">
        <v>#N/A</v>
      </c>
      <c r="F1907" t="s">
        <v>249</v>
      </c>
      <c r="G1907"/>
    </row>
    <row r="1908" spans="1:7" ht="15.75">
      <c r="A1908" t="str">
        <f t="shared" si="29"/>
        <v>RancesAutre agent énergétiqueCHAUFF</v>
      </c>
      <c r="B1908" s="148">
        <v>5760</v>
      </c>
      <c r="C1908" s="148" t="s">
        <v>549</v>
      </c>
      <c r="D1908" s="148" t="s">
        <v>245</v>
      </c>
      <c r="E1908" s="148">
        <v>153381.08235293999</v>
      </c>
      <c r="F1908" t="s">
        <v>249</v>
      </c>
      <c r="G1908"/>
    </row>
    <row r="1909" spans="1:7" ht="15.75">
      <c r="A1909" t="str">
        <f t="shared" si="29"/>
        <v>RancesBoisCHAUFF</v>
      </c>
      <c r="B1909" s="148">
        <v>5760</v>
      </c>
      <c r="C1909" s="148" t="s">
        <v>549</v>
      </c>
      <c r="D1909" s="148" t="s">
        <v>66</v>
      </c>
      <c r="E1909" s="148">
        <v>1418576.0941176401</v>
      </c>
      <c r="F1909" t="s">
        <v>249</v>
      </c>
      <c r="G1909"/>
    </row>
    <row r="1910" spans="1:7" ht="15.75">
      <c r="A1910" t="str">
        <f t="shared" si="29"/>
        <v>RancesElectricitéCHAUFF</v>
      </c>
      <c r="B1910" s="148">
        <v>5760</v>
      </c>
      <c r="C1910" s="148" t="s">
        <v>549</v>
      </c>
      <c r="D1910" s="148" t="s">
        <v>97</v>
      </c>
      <c r="E1910" s="148">
        <v>500735.05376345001</v>
      </c>
      <c r="F1910" t="s">
        <v>249</v>
      </c>
      <c r="G1910"/>
    </row>
    <row r="1911" spans="1:7" ht="15.75">
      <c r="A1911" t="str">
        <f t="shared" si="29"/>
        <v>RancesGazCHAUFF</v>
      </c>
      <c r="B1911" s="148">
        <v>5760</v>
      </c>
      <c r="C1911" s="148" t="s">
        <v>549</v>
      </c>
      <c r="D1911" s="148" t="s">
        <v>239</v>
      </c>
      <c r="E1911" s="148">
        <v>86964.705882349997</v>
      </c>
      <c r="F1911" t="s">
        <v>249</v>
      </c>
      <c r="G1911"/>
    </row>
    <row r="1912" spans="1:7" ht="15.75">
      <c r="A1912" t="str">
        <f t="shared" si="29"/>
        <v>RancesMazoutCHAUFF</v>
      </c>
      <c r="B1912" s="148">
        <v>5760</v>
      </c>
      <c r="C1912" s="148" t="s">
        <v>549</v>
      </c>
      <c r="D1912" s="148" t="s">
        <v>70</v>
      </c>
      <c r="E1912" s="148">
        <v>4629573.0823529605</v>
      </c>
      <c r="F1912" t="s">
        <v>249</v>
      </c>
      <c r="G1912"/>
    </row>
    <row r="1913" spans="1:7" ht="15.75">
      <c r="A1913" t="str">
        <f t="shared" si="29"/>
        <v>RancesNon renseignéCHAUFF</v>
      </c>
      <c r="B1913" s="148">
        <v>5760</v>
      </c>
      <c r="C1913" s="148" t="s">
        <v>549</v>
      </c>
      <c r="D1913" s="148" t="s">
        <v>696</v>
      </c>
      <c r="E1913" s="148">
        <v>0</v>
      </c>
      <c r="F1913" t="s">
        <v>249</v>
      </c>
      <c r="G1913"/>
    </row>
    <row r="1914" spans="1:7" ht="15.75">
      <c r="A1914" t="str">
        <f t="shared" si="29"/>
        <v>RancesPACCHAUFF</v>
      </c>
      <c r="B1914" s="148">
        <v>5760</v>
      </c>
      <c r="C1914" s="148" t="s">
        <v>549</v>
      </c>
      <c r="D1914" s="148" t="s">
        <v>69</v>
      </c>
      <c r="E1914" s="148">
        <v>115079.82286633</v>
      </c>
      <c r="F1914" t="s">
        <v>249</v>
      </c>
      <c r="G1914"/>
    </row>
    <row r="1915" spans="1:7" ht="15.75">
      <c r="A1915" t="str">
        <f t="shared" si="29"/>
        <v>RancesSolaireCHAUFF</v>
      </c>
      <c r="B1915" s="148">
        <v>5760</v>
      </c>
      <c r="C1915" s="148" t="s">
        <v>549</v>
      </c>
      <c r="D1915" s="148" t="s">
        <v>240</v>
      </c>
      <c r="E1915" s="148" t="e">
        <v>#N/A</v>
      </c>
      <c r="F1915" t="s">
        <v>249</v>
      </c>
      <c r="G1915"/>
    </row>
    <row r="1916" spans="1:7" ht="15.75">
      <c r="A1916" t="str">
        <f t="shared" si="29"/>
        <v>Renens (VD)Autre agent énergétiqueCHAUFF</v>
      </c>
      <c r="B1916" s="148">
        <v>5591</v>
      </c>
      <c r="C1916" s="148" t="s">
        <v>690</v>
      </c>
      <c r="D1916" s="148" t="s">
        <v>245</v>
      </c>
      <c r="E1916" s="148" t="e">
        <v>#N/A</v>
      </c>
      <c r="F1916" t="s">
        <v>249</v>
      </c>
      <c r="G1916"/>
    </row>
    <row r="1917" spans="1:7" ht="15.75">
      <c r="A1917" t="str">
        <f t="shared" si="29"/>
        <v>Renens (VD)BoisCHAUFF</v>
      </c>
      <c r="B1917" s="148">
        <v>5591</v>
      </c>
      <c r="C1917" s="148" t="s">
        <v>690</v>
      </c>
      <c r="D1917" s="148" t="s">
        <v>66</v>
      </c>
      <c r="E1917" s="148">
        <v>2178647.7333333297</v>
      </c>
      <c r="F1917" t="s">
        <v>249</v>
      </c>
      <c r="G1917"/>
    </row>
    <row r="1918" spans="1:7" ht="15.75">
      <c r="A1918" t="str">
        <f t="shared" si="29"/>
        <v>Renens (VD)CADCHAUFF</v>
      </c>
      <c r="B1918" s="148">
        <v>5591</v>
      </c>
      <c r="C1918" s="148" t="s">
        <v>690</v>
      </c>
      <c r="D1918" s="148" t="s">
        <v>242</v>
      </c>
      <c r="E1918" s="148">
        <v>11193249.200000001</v>
      </c>
      <c r="F1918" t="s">
        <v>249</v>
      </c>
      <c r="G1918"/>
    </row>
    <row r="1919" spans="1:7" ht="15.75">
      <c r="A1919" t="str">
        <f t="shared" si="29"/>
        <v>Renens (VD)ElectricitéCHAUFF</v>
      </c>
      <c r="B1919" s="148">
        <v>5591</v>
      </c>
      <c r="C1919" s="148" t="s">
        <v>690</v>
      </c>
      <c r="D1919" s="148" t="s">
        <v>97</v>
      </c>
      <c r="E1919" s="148">
        <v>2649224.4086021404</v>
      </c>
      <c r="F1919" t="s">
        <v>249</v>
      </c>
      <c r="G1919"/>
    </row>
    <row r="1920" spans="1:7" ht="15.75">
      <c r="A1920" t="str">
        <f t="shared" si="29"/>
        <v>Renens (VD)GazCHAUFF</v>
      </c>
      <c r="B1920" s="148">
        <v>5591</v>
      </c>
      <c r="C1920" s="148" t="s">
        <v>690</v>
      </c>
      <c r="D1920" s="148" t="s">
        <v>239</v>
      </c>
      <c r="E1920" s="148">
        <v>83969386.525226504</v>
      </c>
      <c r="F1920" t="s">
        <v>249</v>
      </c>
      <c r="G1920"/>
    </row>
    <row r="1921" spans="1:7" ht="15.75">
      <c r="A1921" t="str">
        <f t="shared" si="29"/>
        <v>Renens (VD)MazoutCHAUFF</v>
      </c>
      <c r="B1921" s="148">
        <v>5591</v>
      </c>
      <c r="C1921" s="148" t="s">
        <v>690</v>
      </c>
      <c r="D1921" s="148" t="s">
        <v>70</v>
      </c>
      <c r="E1921" s="148">
        <v>58202722.14117647</v>
      </c>
      <c r="F1921" t="s">
        <v>249</v>
      </c>
      <c r="G1921"/>
    </row>
    <row r="1922" spans="1:7" ht="15.75">
      <c r="A1922" t="str">
        <f t="shared" si="29"/>
        <v>Renens (VD)Non renseignéCHAUFF</v>
      </c>
      <c r="B1922" s="148">
        <v>5591</v>
      </c>
      <c r="C1922" s="148" t="s">
        <v>690</v>
      </c>
      <c r="D1922" s="148" t="s">
        <v>696</v>
      </c>
      <c r="E1922" s="148">
        <v>0</v>
      </c>
      <c r="F1922" t="s">
        <v>249</v>
      </c>
      <c r="G1922"/>
    </row>
    <row r="1923" spans="1:7" ht="15.75">
      <c r="A1923" t="str">
        <f t="shared" si="29"/>
        <v>Renens (VD)PACCHAUFF</v>
      </c>
      <c r="B1923" s="148">
        <v>5591</v>
      </c>
      <c r="C1923" s="148" t="s">
        <v>690</v>
      </c>
      <c r="D1923" s="148" t="s">
        <v>69</v>
      </c>
      <c r="E1923" s="148">
        <v>1050240.8095164201</v>
      </c>
      <c r="F1923" t="s">
        <v>249</v>
      </c>
      <c r="G1923"/>
    </row>
    <row r="1924" spans="1:7" ht="15.75">
      <c r="A1924" t="str">
        <f t="shared" si="29"/>
        <v>Renens (VD)CharbonCHAUFF</v>
      </c>
      <c r="B1924" s="148">
        <v>5591</v>
      </c>
      <c r="C1924" s="148" t="s">
        <v>690</v>
      </c>
      <c r="D1924" s="148" t="s">
        <v>695</v>
      </c>
      <c r="E1924" s="148" t="e">
        <v>#N/A</v>
      </c>
      <c r="F1924" t="s">
        <v>249</v>
      </c>
      <c r="G1924"/>
    </row>
    <row r="1925" spans="1:7" ht="15.75">
      <c r="A1925" t="str">
        <f t="shared" si="29"/>
        <v>Renens (VD)SolaireCHAUFF</v>
      </c>
      <c r="B1925" s="148">
        <v>5591</v>
      </c>
      <c r="C1925" s="148" t="s">
        <v>690</v>
      </c>
      <c r="D1925" s="148" t="s">
        <v>240</v>
      </c>
      <c r="E1925" s="148" t="e">
        <v>#N/A</v>
      </c>
      <c r="F1925" t="s">
        <v>249</v>
      </c>
      <c r="G1925"/>
    </row>
    <row r="1926" spans="1:7" ht="15.75">
      <c r="A1926" t="str">
        <f t="shared" si="29"/>
        <v>RennazBoisCHAUFF</v>
      </c>
      <c r="B1926" s="148">
        <v>5412</v>
      </c>
      <c r="C1926" s="148" t="s">
        <v>550</v>
      </c>
      <c r="D1926" s="148" t="s">
        <v>66</v>
      </c>
      <c r="E1926" s="148">
        <v>195801.99215686001</v>
      </c>
      <c r="F1926" t="s">
        <v>249</v>
      </c>
      <c r="G1926"/>
    </row>
    <row r="1927" spans="1:7" ht="15.75">
      <c r="A1927" t="str">
        <f t="shared" si="29"/>
        <v>RennazCADCHAUFF</v>
      </c>
      <c r="B1927" s="148">
        <v>5412</v>
      </c>
      <c r="C1927" s="148" t="s">
        <v>550</v>
      </c>
      <c r="D1927" s="148" t="s">
        <v>242</v>
      </c>
      <c r="E1927" s="148">
        <v>338755.68</v>
      </c>
      <c r="F1927" t="s">
        <v>249</v>
      </c>
      <c r="G1927"/>
    </row>
    <row r="1928" spans="1:7" ht="15.75">
      <c r="A1928" t="str">
        <f t="shared" si="29"/>
        <v>RennazElectricitéCHAUFF</v>
      </c>
      <c r="B1928" s="148">
        <v>5412</v>
      </c>
      <c r="C1928" s="148" t="s">
        <v>550</v>
      </c>
      <c r="D1928" s="148" t="s">
        <v>97</v>
      </c>
      <c r="E1928" s="148">
        <v>161421.07526882002</v>
      </c>
      <c r="F1928" t="s">
        <v>249</v>
      </c>
      <c r="G1928"/>
    </row>
    <row r="1929" spans="1:7" ht="15.75">
      <c r="A1929" t="str">
        <f t="shared" si="29"/>
        <v>RennazGazCHAUFF</v>
      </c>
      <c r="B1929" s="148">
        <v>5412</v>
      </c>
      <c r="C1929" s="148" t="s">
        <v>550</v>
      </c>
      <c r="D1929" s="148" t="s">
        <v>239</v>
      </c>
      <c r="E1929" s="148">
        <v>4460895.5727554001</v>
      </c>
      <c r="F1929" t="s">
        <v>249</v>
      </c>
      <c r="G1929"/>
    </row>
    <row r="1930" spans="1:7" ht="15.75">
      <c r="A1930" t="str">
        <f t="shared" si="29"/>
        <v>RennazMazoutCHAUFF</v>
      </c>
      <c r="B1930" s="148">
        <v>5412</v>
      </c>
      <c r="C1930" s="148" t="s">
        <v>550</v>
      </c>
      <c r="D1930" s="148" t="s">
        <v>70</v>
      </c>
      <c r="E1930" s="148">
        <v>1925015.5345830503</v>
      </c>
      <c r="F1930" t="s">
        <v>249</v>
      </c>
      <c r="G1930"/>
    </row>
    <row r="1931" spans="1:7" ht="15.75">
      <c r="A1931" t="str">
        <f t="shared" ref="A1931:A1994" si="30">_xlfn.CONCAT(C1931,D1931,F1931)</f>
        <v>RennazNon renseignéCHAUFF</v>
      </c>
      <c r="B1931" s="148">
        <v>5412</v>
      </c>
      <c r="C1931" s="148" t="s">
        <v>550</v>
      </c>
      <c r="D1931" s="148" t="s">
        <v>696</v>
      </c>
      <c r="E1931" s="148">
        <v>0</v>
      </c>
      <c r="F1931" t="s">
        <v>249</v>
      </c>
      <c r="G1931"/>
    </row>
    <row r="1932" spans="1:7" ht="15.75">
      <c r="A1932" t="str">
        <f t="shared" si="30"/>
        <v>RennazPACCHAUFF</v>
      </c>
      <c r="B1932" s="148">
        <v>5412</v>
      </c>
      <c r="C1932" s="148" t="s">
        <v>550</v>
      </c>
      <c r="D1932" s="148" t="s">
        <v>69</v>
      </c>
      <c r="E1932" s="148">
        <v>40079.111111109996</v>
      </c>
      <c r="F1932" t="s">
        <v>249</v>
      </c>
      <c r="G1932"/>
    </row>
    <row r="1933" spans="1:7" ht="15.75">
      <c r="A1933" t="str">
        <f t="shared" si="30"/>
        <v>RennazSolaireCHAUFF</v>
      </c>
      <c r="B1933" s="148">
        <v>5412</v>
      </c>
      <c r="C1933" s="148" t="s">
        <v>550</v>
      </c>
      <c r="D1933" s="148" t="s">
        <v>240</v>
      </c>
      <c r="E1933" s="148">
        <v>29612.800000000003</v>
      </c>
      <c r="F1933" t="s">
        <v>249</v>
      </c>
      <c r="G1933"/>
    </row>
    <row r="1934" spans="1:7" ht="15.75">
      <c r="A1934" t="str">
        <f t="shared" si="30"/>
        <v>RennazAutre agent énergétiqueCHAUFF</v>
      </c>
      <c r="B1934" s="148">
        <v>5412</v>
      </c>
      <c r="C1934" s="148" t="s">
        <v>550</v>
      </c>
      <c r="D1934" s="148" t="s">
        <v>245</v>
      </c>
      <c r="E1934" s="148" t="e">
        <v>#N/A</v>
      </c>
      <c r="F1934" t="s">
        <v>249</v>
      </c>
      <c r="G1934"/>
    </row>
    <row r="1935" spans="1:7" ht="15.75">
      <c r="A1935" t="str">
        <f t="shared" si="30"/>
        <v>ReverolleBoisCHAUFF</v>
      </c>
      <c r="B1935" s="148">
        <v>5644</v>
      </c>
      <c r="C1935" s="148" t="s">
        <v>551</v>
      </c>
      <c r="D1935" s="148" t="s">
        <v>66</v>
      </c>
      <c r="E1935" s="148" t="e">
        <v>#N/A</v>
      </c>
      <c r="F1935" t="s">
        <v>249</v>
      </c>
      <c r="G1935"/>
    </row>
    <row r="1936" spans="1:7" ht="15.75">
      <c r="A1936" t="str">
        <f t="shared" si="30"/>
        <v>ReverolleElectricitéCHAUFF</v>
      </c>
      <c r="B1936" s="148">
        <v>5644</v>
      </c>
      <c r="C1936" s="148" t="s">
        <v>551</v>
      </c>
      <c r="D1936" s="148" t="s">
        <v>97</v>
      </c>
      <c r="E1936" s="148" t="e">
        <v>#N/A</v>
      </c>
      <c r="F1936" t="s">
        <v>249</v>
      </c>
      <c r="G1936"/>
    </row>
    <row r="1937" spans="1:7" ht="15.75">
      <c r="A1937" t="str">
        <f t="shared" si="30"/>
        <v>ReverolleGazCHAUFF</v>
      </c>
      <c r="B1937" s="148">
        <v>5644</v>
      </c>
      <c r="C1937" s="148" t="s">
        <v>551</v>
      </c>
      <c r="D1937" s="148" t="s">
        <v>239</v>
      </c>
      <c r="E1937" s="148" t="e">
        <v>#N/A</v>
      </c>
      <c r="F1937" t="s">
        <v>249</v>
      </c>
      <c r="G1937"/>
    </row>
    <row r="1938" spans="1:7" ht="15.75">
      <c r="A1938" t="str">
        <f t="shared" si="30"/>
        <v>ReverolleMazoutCHAUFF</v>
      </c>
      <c r="B1938" s="148">
        <v>5644</v>
      </c>
      <c r="C1938" s="148" t="s">
        <v>551</v>
      </c>
      <c r="D1938" s="148" t="s">
        <v>70</v>
      </c>
      <c r="E1938" s="148" t="e">
        <v>#N/A</v>
      </c>
      <c r="F1938" t="s">
        <v>249</v>
      </c>
      <c r="G1938"/>
    </row>
    <row r="1939" spans="1:7" ht="15.75">
      <c r="A1939" t="str">
        <f t="shared" si="30"/>
        <v>ReverolleNon renseignéCHAUFF</v>
      </c>
      <c r="B1939" s="148">
        <v>5644</v>
      </c>
      <c r="C1939" s="148" t="s">
        <v>551</v>
      </c>
      <c r="D1939" s="148" t="s">
        <v>696</v>
      </c>
      <c r="E1939" s="148" t="e">
        <v>#N/A</v>
      </c>
      <c r="F1939" t="s">
        <v>249</v>
      </c>
      <c r="G1939"/>
    </row>
    <row r="1940" spans="1:7" ht="15.75">
      <c r="A1940" t="str">
        <f t="shared" si="30"/>
        <v>ReverollePACCHAUFF</v>
      </c>
      <c r="B1940" s="148">
        <v>5644</v>
      </c>
      <c r="C1940" s="148" t="s">
        <v>551</v>
      </c>
      <c r="D1940" s="148" t="s">
        <v>69</v>
      </c>
      <c r="E1940" s="148" t="e">
        <v>#N/A</v>
      </c>
      <c r="F1940" t="s">
        <v>249</v>
      </c>
      <c r="G1940"/>
    </row>
    <row r="1941" spans="1:7" ht="15.75">
      <c r="A1941" t="str">
        <f t="shared" si="30"/>
        <v>ReverolleSolaireCHAUFF</v>
      </c>
      <c r="B1941" s="148">
        <v>5644</v>
      </c>
      <c r="C1941" s="148" t="s">
        <v>551</v>
      </c>
      <c r="D1941" s="148" t="s">
        <v>240</v>
      </c>
      <c r="E1941" s="148" t="e">
        <v>#N/A</v>
      </c>
      <c r="F1941" t="s">
        <v>249</v>
      </c>
      <c r="G1941"/>
    </row>
    <row r="1942" spans="1:7" ht="15.75">
      <c r="A1942" t="str">
        <f t="shared" si="30"/>
        <v>RivazBoisCHAUFF</v>
      </c>
      <c r="B1942" s="148">
        <v>5609</v>
      </c>
      <c r="C1942" s="148" t="s">
        <v>552</v>
      </c>
      <c r="D1942" s="148" t="s">
        <v>66</v>
      </c>
      <c r="E1942" s="148">
        <v>90711.466666669992</v>
      </c>
      <c r="F1942" t="s">
        <v>249</v>
      </c>
      <c r="G1942"/>
    </row>
    <row r="1943" spans="1:7" ht="15.75">
      <c r="A1943" t="str">
        <f t="shared" si="30"/>
        <v>RivazElectricitéCHAUFF</v>
      </c>
      <c r="B1943" s="148">
        <v>5609</v>
      </c>
      <c r="C1943" s="148" t="s">
        <v>552</v>
      </c>
      <c r="D1943" s="148" t="s">
        <v>97</v>
      </c>
      <c r="E1943" s="148">
        <v>59838.279569899998</v>
      </c>
      <c r="F1943" t="s">
        <v>249</v>
      </c>
      <c r="G1943"/>
    </row>
    <row r="1944" spans="1:7" ht="15.75">
      <c r="A1944" t="str">
        <f t="shared" si="30"/>
        <v>RivazGazCHAUFF</v>
      </c>
      <c r="B1944" s="148">
        <v>5609</v>
      </c>
      <c r="C1944" s="148" t="s">
        <v>552</v>
      </c>
      <c r="D1944" s="148" t="s">
        <v>239</v>
      </c>
      <c r="E1944" s="148">
        <v>2909513.4705882398</v>
      </c>
      <c r="F1944" t="s">
        <v>249</v>
      </c>
      <c r="G1944"/>
    </row>
    <row r="1945" spans="1:7" ht="15.75">
      <c r="A1945" t="str">
        <f t="shared" si="30"/>
        <v>RivazMazoutCHAUFF</v>
      </c>
      <c r="B1945" s="148">
        <v>5609</v>
      </c>
      <c r="C1945" s="148" t="s">
        <v>552</v>
      </c>
      <c r="D1945" s="148" t="s">
        <v>70</v>
      </c>
      <c r="E1945" s="148">
        <v>1482251.6117647497</v>
      </c>
      <c r="F1945" t="s">
        <v>249</v>
      </c>
      <c r="G1945"/>
    </row>
    <row r="1946" spans="1:7" ht="15.75">
      <c r="A1946" t="str">
        <f t="shared" si="30"/>
        <v>RivazPACCHAUFF</v>
      </c>
      <c r="B1946" s="148">
        <v>5609</v>
      </c>
      <c r="C1946" s="148" t="s">
        <v>552</v>
      </c>
      <c r="D1946" s="148" t="s">
        <v>69</v>
      </c>
      <c r="E1946" s="148">
        <v>14196.07407407</v>
      </c>
      <c r="F1946" t="s">
        <v>249</v>
      </c>
      <c r="G1946"/>
    </row>
    <row r="1947" spans="1:7" ht="15.75">
      <c r="A1947" t="str">
        <f t="shared" si="30"/>
        <v>RivazSolaireCHAUFF</v>
      </c>
      <c r="B1947" s="148">
        <v>5609</v>
      </c>
      <c r="C1947" s="148" t="s">
        <v>552</v>
      </c>
      <c r="D1947" s="148" t="s">
        <v>240</v>
      </c>
      <c r="E1947" s="148" t="e">
        <v>#N/A</v>
      </c>
      <c r="F1947" t="s">
        <v>249</v>
      </c>
      <c r="G1947"/>
    </row>
    <row r="1948" spans="1:7" ht="15.75">
      <c r="A1948" t="str">
        <f t="shared" si="30"/>
        <v>Roche (VD)BoisCHAUFF</v>
      </c>
      <c r="B1948" s="148">
        <v>5413</v>
      </c>
      <c r="C1948" s="148" t="s">
        <v>621</v>
      </c>
      <c r="D1948" s="148" t="s">
        <v>66</v>
      </c>
      <c r="E1948" s="148">
        <v>1070078.8862745001</v>
      </c>
      <c r="F1948" t="s">
        <v>249</v>
      </c>
      <c r="G1948"/>
    </row>
    <row r="1949" spans="1:7" ht="15.75">
      <c r="A1949" t="str">
        <f t="shared" si="30"/>
        <v>Roche (VD)CADCHAUFF</v>
      </c>
      <c r="B1949" s="148">
        <v>5413</v>
      </c>
      <c r="C1949" s="148" t="s">
        <v>621</v>
      </c>
      <c r="D1949" s="148" t="s">
        <v>242</v>
      </c>
      <c r="E1949" s="148">
        <v>2675261.399999999</v>
      </c>
      <c r="F1949" t="s">
        <v>249</v>
      </c>
      <c r="G1949"/>
    </row>
    <row r="1950" spans="1:7" ht="15.75">
      <c r="A1950" t="str">
        <f t="shared" si="30"/>
        <v>Roche (VD)ElectricitéCHAUFF</v>
      </c>
      <c r="B1950" s="148">
        <v>5413</v>
      </c>
      <c r="C1950" s="148" t="s">
        <v>621</v>
      </c>
      <c r="D1950" s="148" t="s">
        <v>97</v>
      </c>
      <c r="E1950" s="148">
        <v>297842.58064515004</v>
      </c>
      <c r="F1950" t="s">
        <v>249</v>
      </c>
      <c r="G1950"/>
    </row>
    <row r="1951" spans="1:7" ht="15.75">
      <c r="A1951" t="str">
        <f t="shared" si="30"/>
        <v>Roche (VD)GazCHAUFF</v>
      </c>
      <c r="B1951" s="148">
        <v>5413</v>
      </c>
      <c r="C1951" s="148" t="s">
        <v>621</v>
      </c>
      <c r="D1951" s="148" t="s">
        <v>239</v>
      </c>
      <c r="E1951" s="148">
        <v>6436723.3640866578</v>
      </c>
      <c r="F1951" t="s">
        <v>249</v>
      </c>
      <c r="G1951"/>
    </row>
    <row r="1952" spans="1:7" ht="15.75">
      <c r="A1952" t="str">
        <f t="shared" si="30"/>
        <v>Roche (VD)MazoutCHAUFF</v>
      </c>
      <c r="B1952" s="148">
        <v>5413</v>
      </c>
      <c r="C1952" s="148" t="s">
        <v>621</v>
      </c>
      <c r="D1952" s="148" t="s">
        <v>70</v>
      </c>
      <c r="E1952" s="148">
        <v>4460250.0294117294</v>
      </c>
      <c r="F1952" t="s">
        <v>249</v>
      </c>
      <c r="G1952"/>
    </row>
    <row r="1953" spans="1:7" ht="15.75">
      <c r="A1953" t="str">
        <f t="shared" si="30"/>
        <v>Roche (VD)Non renseignéCHAUFF</v>
      </c>
      <c r="B1953" s="148">
        <v>5413</v>
      </c>
      <c r="C1953" s="148" t="s">
        <v>621</v>
      </c>
      <c r="D1953" s="148" t="s">
        <v>696</v>
      </c>
      <c r="E1953" s="148">
        <v>0</v>
      </c>
      <c r="F1953" t="s">
        <v>249</v>
      </c>
      <c r="G1953"/>
    </row>
    <row r="1954" spans="1:7" ht="15.75">
      <c r="A1954" t="str">
        <f t="shared" si="30"/>
        <v>Roche (VD)PACCHAUFF</v>
      </c>
      <c r="B1954" s="148">
        <v>5413</v>
      </c>
      <c r="C1954" s="148" t="s">
        <v>621</v>
      </c>
      <c r="D1954" s="148" t="s">
        <v>69</v>
      </c>
      <c r="E1954" s="148">
        <v>43528.096618359996</v>
      </c>
      <c r="F1954" t="s">
        <v>249</v>
      </c>
      <c r="G1954"/>
    </row>
    <row r="1955" spans="1:7" ht="15.75">
      <c r="A1955" t="str">
        <f t="shared" si="30"/>
        <v>Roche (VD)SolaireCHAUFF</v>
      </c>
      <c r="B1955" s="148">
        <v>5413</v>
      </c>
      <c r="C1955" s="148" t="s">
        <v>621</v>
      </c>
      <c r="D1955" s="148" t="s">
        <v>240</v>
      </c>
      <c r="E1955" s="148" t="e">
        <v>#N/A</v>
      </c>
      <c r="F1955" t="s">
        <v>249</v>
      </c>
      <c r="G1955"/>
    </row>
    <row r="1956" spans="1:7" ht="15.75">
      <c r="A1956" t="str">
        <f t="shared" si="30"/>
        <v>RolleAutre agent énergétiqueCHAUFF</v>
      </c>
      <c r="B1956" s="148">
        <v>5861</v>
      </c>
      <c r="C1956" s="148" t="s">
        <v>553</v>
      </c>
      <c r="D1956" s="148" t="s">
        <v>245</v>
      </c>
      <c r="E1956" s="148">
        <v>82496.470588240001</v>
      </c>
      <c r="F1956" t="s">
        <v>249</v>
      </c>
      <c r="G1956"/>
    </row>
    <row r="1957" spans="1:7" ht="15.75">
      <c r="A1957" t="str">
        <f t="shared" si="30"/>
        <v>RolleBoisCHAUFF</v>
      </c>
      <c r="B1957" s="148">
        <v>5861</v>
      </c>
      <c r="C1957" s="148" t="s">
        <v>553</v>
      </c>
      <c r="D1957" s="148" t="s">
        <v>66</v>
      </c>
      <c r="E1957" s="148">
        <v>1529166.72</v>
      </c>
      <c r="F1957" t="s">
        <v>249</v>
      </c>
      <c r="G1957"/>
    </row>
    <row r="1958" spans="1:7" ht="15.75">
      <c r="A1958" t="str">
        <f t="shared" si="30"/>
        <v>RolleCADCHAUFF</v>
      </c>
      <c r="B1958" s="148">
        <v>5861</v>
      </c>
      <c r="C1958" s="148" t="s">
        <v>553</v>
      </c>
      <c r="D1958" s="148" t="s">
        <v>242</v>
      </c>
      <c r="E1958" s="148">
        <v>1335657.2</v>
      </c>
      <c r="F1958" t="s">
        <v>249</v>
      </c>
      <c r="G1958"/>
    </row>
    <row r="1959" spans="1:7" ht="15.75">
      <c r="A1959" t="str">
        <f t="shared" si="30"/>
        <v>RolleCharbonCHAUFF</v>
      </c>
      <c r="B1959" s="148">
        <v>5861</v>
      </c>
      <c r="C1959" s="148" t="s">
        <v>553</v>
      </c>
      <c r="D1959" s="148" t="s">
        <v>695</v>
      </c>
      <c r="E1959" s="148" t="e">
        <v>#N/A</v>
      </c>
      <c r="F1959" t="s">
        <v>249</v>
      </c>
      <c r="G1959"/>
    </row>
    <row r="1960" spans="1:7" ht="15.75">
      <c r="A1960" t="str">
        <f t="shared" si="30"/>
        <v>RolleElectricitéCHAUFF</v>
      </c>
      <c r="B1960" s="148">
        <v>5861</v>
      </c>
      <c r="C1960" s="148" t="s">
        <v>553</v>
      </c>
      <c r="D1960" s="148" t="s">
        <v>97</v>
      </c>
      <c r="E1960" s="148">
        <v>2728968.4946236894</v>
      </c>
      <c r="F1960" t="s">
        <v>249</v>
      </c>
      <c r="G1960"/>
    </row>
    <row r="1961" spans="1:7" ht="15.75">
      <c r="A1961" t="str">
        <f t="shared" si="30"/>
        <v>RolleGazCHAUFF</v>
      </c>
      <c r="B1961" s="148">
        <v>5861</v>
      </c>
      <c r="C1961" s="148" t="s">
        <v>553</v>
      </c>
      <c r="D1961" s="148" t="s">
        <v>239</v>
      </c>
      <c r="E1961" s="148">
        <v>35246141.03559389</v>
      </c>
      <c r="F1961" t="s">
        <v>249</v>
      </c>
      <c r="G1961"/>
    </row>
    <row r="1962" spans="1:7" ht="15.75">
      <c r="A1962" t="str">
        <f t="shared" si="30"/>
        <v>RolleMazoutCHAUFF</v>
      </c>
      <c r="B1962" s="148">
        <v>5861</v>
      </c>
      <c r="C1962" s="148" t="s">
        <v>553</v>
      </c>
      <c r="D1962" s="148" t="s">
        <v>70</v>
      </c>
      <c r="E1962" s="148">
        <v>23749700.917647135</v>
      </c>
      <c r="F1962" t="s">
        <v>249</v>
      </c>
      <c r="G1962"/>
    </row>
    <row r="1963" spans="1:7" ht="15.75">
      <c r="A1963" t="str">
        <f t="shared" si="30"/>
        <v>RolleNon renseignéCHAUFF</v>
      </c>
      <c r="B1963" s="148">
        <v>5861</v>
      </c>
      <c r="C1963" s="148" t="s">
        <v>553</v>
      </c>
      <c r="D1963" s="148" t="s">
        <v>696</v>
      </c>
      <c r="E1963" s="148">
        <v>0</v>
      </c>
      <c r="F1963" t="s">
        <v>249</v>
      </c>
      <c r="G1963"/>
    </row>
    <row r="1964" spans="1:7" ht="15.75">
      <c r="A1964" t="str">
        <f t="shared" si="30"/>
        <v>RollePACCHAUFF</v>
      </c>
      <c r="B1964" s="148">
        <v>5861</v>
      </c>
      <c r="C1964" s="148" t="s">
        <v>553</v>
      </c>
      <c r="D1964" s="148" t="s">
        <v>69</v>
      </c>
      <c r="E1964" s="148">
        <v>1083278.8661887501</v>
      </c>
      <c r="F1964" t="s">
        <v>249</v>
      </c>
      <c r="G1964"/>
    </row>
    <row r="1965" spans="1:7" ht="15.75">
      <c r="A1965" t="str">
        <f t="shared" si="30"/>
        <v>RolleSolaireCHAUFF</v>
      </c>
      <c r="B1965" s="148">
        <v>5861</v>
      </c>
      <c r="C1965" s="148" t="s">
        <v>553</v>
      </c>
      <c r="D1965" s="148" t="s">
        <v>240</v>
      </c>
      <c r="E1965" s="148" t="e">
        <v>#N/A</v>
      </c>
      <c r="F1965" t="s">
        <v>249</v>
      </c>
      <c r="G1965"/>
    </row>
    <row r="1966" spans="1:7" ht="15.75">
      <c r="A1966" t="str">
        <f t="shared" si="30"/>
        <v>Romainmôtier-EnvyBoisCHAUFF</v>
      </c>
      <c r="B1966" s="148">
        <v>5761</v>
      </c>
      <c r="C1966" s="148" t="s">
        <v>620</v>
      </c>
      <c r="D1966" s="148" t="s">
        <v>66</v>
      </c>
      <c r="E1966" s="148">
        <v>731651.24705882999</v>
      </c>
      <c r="F1966" t="s">
        <v>249</v>
      </c>
      <c r="G1966"/>
    </row>
    <row r="1967" spans="1:7" ht="15.75">
      <c r="A1967" t="str">
        <f t="shared" si="30"/>
        <v>Romainmôtier-EnvyCADCHAUFF</v>
      </c>
      <c r="B1967" s="148">
        <v>5761</v>
      </c>
      <c r="C1967" s="148" t="s">
        <v>620</v>
      </c>
      <c r="D1967" s="148" t="s">
        <v>242</v>
      </c>
      <c r="E1967" s="148">
        <v>3912</v>
      </c>
      <c r="F1967" t="s">
        <v>249</v>
      </c>
      <c r="G1967"/>
    </row>
    <row r="1968" spans="1:7" ht="15.75">
      <c r="A1968" t="str">
        <f t="shared" si="30"/>
        <v>Romainmôtier-EnvyElectricitéCHAUFF</v>
      </c>
      <c r="B1968" s="148">
        <v>5761</v>
      </c>
      <c r="C1968" s="148" t="s">
        <v>620</v>
      </c>
      <c r="D1968" s="148" t="s">
        <v>97</v>
      </c>
      <c r="E1968" s="148">
        <v>710346.45161293005</v>
      </c>
      <c r="F1968" t="s">
        <v>249</v>
      </c>
      <c r="G1968"/>
    </row>
    <row r="1969" spans="1:7" ht="15.75">
      <c r="A1969" t="str">
        <f t="shared" si="30"/>
        <v>Romainmôtier-EnvyGazCHAUFF</v>
      </c>
      <c r="B1969" s="148">
        <v>5761</v>
      </c>
      <c r="C1969" s="148" t="s">
        <v>620</v>
      </c>
      <c r="D1969" s="148" t="s">
        <v>239</v>
      </c>
      <c r="E1969" s="148">
        <v>1625401.3529412204</v>
      </c>
      <c r="F1969" t="s">
        <v>249</v>
      </c>
      <c r="G1969"/>
    </row>
    <row r="1970" spans="1:7" ht="15.75">
      <c r="A1970" t="str">
        <f t="shared" si="30"/>
        <v>Romainmôtier-EnvyMazoutCHAUFF</v>
      </c>
      <c r="B1970" s="148">
        <v>5761</v>
      </c>
      <c r="C1970" s="148" t="s">
        <v>620</v>
      </c>
      <c r="D1970" s="148" t="s">
        <v>70</v>
      </c>
      <c r="E1970" s="148">
        <v>3866781.1764705698</v>
      </c>
      <c r="F1970" t="s">
        <v>249</v>
      </c>
      <c r="G1970"/>
    </row>
    <row r="1971" spans="1:7" ht="15.75">
      <c r="A1971" t="str">
        <f t="shared" si="30"/>
        <v>Romainmôtier-EnvyNon renseignéCHAUFF</v>
      </c>
      <c r="B1971" s="148">
        <v>5761</v>
      </c>
      <c r="C1971" s="148" t="s">
        <v>620</v>
      </c>
      <c r="D1971" s="148" t="s">
        <v>696</v>
      </c>
      <c r="E1971" s="148">
        <v>0</v>
      </c>
      <c r="F1971" t="s">
        <v>249</v>
      </c>
      <c r="G1971"/>
    </row>
    <row r="1972" spans="1:7" ht="15.75">
      <c r="A1972" t="str">
        <f t="shared" si="30"/>
        <v>Romainmôtier-EnvyPACCHAUFF</v>
      </c>
      <c r="B1972" s="148">
        <v>5761</v>
      </c>
      <c r="C1972" s="148" t="s">
        <v>620</v>
      </c>
      <c r="D1972" s="148" t="s">
        <v>69</v>
      </c>
      <c r="E1972" s="148">
        <v>63846.610628030001</v>
      </c>
      <c r="F1972" t="s">
        <v>249</v>
      </c>
      <c r="G1972"/>
    </row>
    <row r="1973" spans="1:7" ht="15.75">
      <c r="A1973" t="str">
        <f t="shared" si="30"/>
        <v>Romainmôtier-EnvySolaireCHAUFF</v>
      </c>
      <c r="B1973" s="148">
        <v>5761</v>
      </c>
      <c r="C1973" s="148" t="s">
        <v>620</v>
      </c>
      <c r="D1973" s="148" t="s">
        <v>240</v>
      </c>
      <c r="E1973" s="148" t="e">
        <v>#N/A</v>
      </c>
      <c r="F1973" t="s">
        <v>249</v>
      </c>
      <c r="G1973"/>
    </row>
    <row r="1974" spans="1:7" ht="15.75">
      <c r="A1974" t="str">
        <f t="shared" si="30"/>
        <v>Romanel-sur-LausanneBoisCHAUFF</v>
      </c>
      <c r="B1974" s="148">
        <v>5592</v>
      </c>
      <c r="C1974" s="148" t="s">
        <v>691</v>
      </c>
      <c r="D1974" s="148" t="s">
        <v>66</v>
      </c>
      <c r="E1974" s="148">
        <v>1033905.06666666</v>
      </c>
      <c r="F1974" t="s">
        <v>249</v>
      </c>
      <c r="G1974"/>
    </row>
    <row r="1975" spans="1:7" ht="15.75">
      <c r="A1975" t="str">
        <f t="shared" si="30"/>
        <v>Romanel-sur-LausanneCADCHAUFF</v>
      </c>
      <c r="B1975" s="148">
        <v>5592</v>
      </c>
      <c r="C1975" s="148" t="s">
        <v>691</v>
      </c>
      <c r="D1975" s="148" t="s">
        <v>242</v>
      </c>
      <c r="E1975" s="148">
        <v>599686.39999999991</v>
      </c>
      <c r="F1975" t="s">
        <v>249</v>
      </c>
      <c r="G1975"/>
    </row>
    <row r="1976" spans="1:7" ht="15.75">
      <c r="A1976" t="str">
        <f t="shared" si="30"/>
        <v>Romanel-sur-LausanneElectricitéCHAUFF</v>
      </c>
      <c r="B1976" s="148">
        <v>5592</v>
      </c>
      <c r="C1976" s="148" t="s">
        <v>691</v>
      </c>
      <c r="D1976" s="148" t="s">
        <v>97</v>
      </c>
      <c r="E1976" s="148">
        <v>2014276.0860214897</v>
      </c>
      <c r="F1976" t="s">
        <v>249</v>
      </c>
      <c r="G1976"/>
    </row>
    <row r="1977" spans="1:7" ht="15.75">
      <c r="A1977" t="str">
        <f t="shared" si="30"/>
        <v>Romanel-sur-LausanneGazCHAUFF</v>
      </c>
      <c r="B1977" s="148">
        <v>5592</v>
      </c>
      <c r="C1977" s="148" t="s">
        <v>691</v>
      </c>
      <c r="D1977" s="148" t="s">
        <v>239</v>
      </c>
      <c r="E1977" s="148">
        <v>13908740.943034025</v>
      </c>
      <c r="F1977" t="s">
        <v>249</v>
      </c>
      <c r="G1977"/>
    </row>
    <row r="1978" spans="1:7" ht="15.75">
      <c r="A1978" t="str">
        <f t="shared" si="30"/>
        <v>Romanel-sur-LausanneMazoutCHAUFF</v>
      </c>
      <c r="B1978" s="148">
        <v>5592</v>
      </c>
      <c r="C1978" s="148" t="s">
        <v>691</v>
      </c>
      <c r="D1978" s="148" t="s">
        <v>70</v>
      </c>
      <c r="E1978" s="148">
        <v>14510546.470588304</v>
      </c>
      <c r="F1978" t="s">
        <v>249</v>
      </c>
      <c r="G1978"/>
    </row>
    <row r="1979" spans="1:7" ht="15.75">
      <c r="A1979" t="str">
        <f t="shared" si="30"/>
        <v>Romanel-sur-LausanneNon renseignéCHAUFF</v>
      </c>
      <c r="B1979" s="148">
        <v>5592</v>
      </c>
      <c r="C1979" s="148" t="s">
        <v>691</v>
      </c>
      <c r="D1979" s="148" t="s">
        <v>696</v>
      </c>
      <c r="E1979" s="148">
        <v>0</v>
      </c>
      <c r="F1979" t="s">
        <v>249</v>
      </c>
      <c r="G1979"/>
    </row>
    <row r="1980" spans="1:7" ht="15.75">
      <c r="A1980" t="str">
        <f t="shared" si="30"/>
        <v>Romanel-sur-LausannePACCHAUFF</v>
      </c>
      <c r="B1980" s="148">
        <v>5592</v>
      </c>
      <c r="C1980" s="148" t="s">
        <v>691</v>
      </c>
      <c r="D1980" s="148" t="s">
        <v>69</v>
      </c>
      <c r="E1980" s="148">
        <v>158684.19339254001</v>
      </c>
      <c r="F1980" t="s">
        <v>249</v>
      </c>
      <c r="G1980"/>
    </row>
    <row r="1981" spans="1:7" ht="15.75">
      <c r="A1981" t="str">
        <f t="shared" si="30"/>
        <v>Romanel-sur-LausanneSolaireCHAUFF</v>
      </c>
      <c r="B1981" s="148">
        <v>5592</v>
      </c>
      <c r="C1981" s="148" t="s">
        <v>691</v>
      </c>
      <c r="D1981" s="148" t="s">
        <v>240</v>
      </c>
      <c r="E1981" s="148" t="e">
        <v>#N/A</v>
      </c>
      <c r="F1981" t="s">
        <v>249</v>
      </c>
      <c r="G1981"/>
    </row>
    <row r="1982" spans="1:7" ht="15.75">
      <c r="A1982" t="str">
        <f t="shared" si="30"/>
        <v>Romanel-sur-MorgesBoisCHAUFF</v>
      </c>
      <c r="B1982" s="148">
        <v>5645</v>
      </c>
      <c r="C1982" s="148" t="s">
        <v>619</v>
      </c>
      <c r="D1982" s="148" t="s">
        <v>66</v>
      </c>
      <c r="E1982" s="148">
        <v>175475.19999999998</v>
      </c>
      <c r="F1982" t="s">
        <v>249</v>
      </c>
      <c r="G1982"/>
    </row>
    <row r="1983" spans="1:7" ht="15.75">
      <c r="A1983" t="str">
        <f t="shared" si="30"/>
        <v>Romanel-sur-MorgesElectricitéCHAUFF</v>
      </c>
      <c r="B1983" s="148">
        <v>5645</v>
      </c>
      <c r="C1983" s="148" t="s">
        <v>619</v>
      </c>
      <c r="D1983" s="148" t="s">
        <v>97</v>
      </c>
      <c r="E1983" s="148">
        <v>2069607.4193548311</v>
      </c>
      <c r="F1983" t="s">
        <v>249</v>
      </c>
      <c r="G1983"/>
    </row>
    <row r="1984" spans="1:7" ht="15.75">
      <c r="A1984" t="str">
        <f t="shared" si="30"/>
        <v>Romanel-sur-MorgesGazCHAUFF</v>
      </c>
      <c r="B1984" s="148">
        <v>5645</v>
      </c>
      <c r="C1984" s="148" t="s">
        <v>619</v>
      </c>
      <c r="D1984" s="148" t="s">
        <v>239</v>
      </c>
      <c r="E1984" s="148">
        <v>665351.24458204</v>
      </c>
      <c r="F1984" t="s">
        <v>249</v>
      </c>
      <c r="G1984"/>
    </row>
    <row r="1985" spans="1:7" ht="15.75">
      <c r="A1985" t="str">
        <f t="shared" si="30"/>
        <v>Romanel-sur-MorgesMazoutCHAUFF</v>
      </c>
      <c r="B1985" s="148">
        <v>5645</v>
      </c>
      <c r="C1985" s="148" t="s">
        <v>619</v>
      </c>
      <c r="D1985" s="148" t="s">
        <v>70</v>
      </c>
      <c r="E1985" s="148">
        <v>2764992.4111183509</v>
      </c>
      <c r="F1985" t="s">
        <v>249</v>
      </c>
      <c r="G1985"/>
    </row>
    <row r="1986" spans="1:7" ht="15.75">
      <c r="A1986" t="str">
        <f t="shared" si="30"/>
        <v>Romanel-sur-MorgesNon renseignéCHAUFF</v>
      </c>
      <c r="B1986" s="148">
        <v>5645</v>
      </c>
      <c r="C1986" s="148" t="s">
        <v>619</v>
      </c>
      <c r="D1986" s="148" t="s">
        <v>696</v>
      </c>
      <c r="E1986" s="148">
        <v>0</v>
      </c>
      <c r="F1986" t="s">
        <v>249</v>
      </c>
      <c r="G1986"/>
    </row>
    <row r="1987" spans="1:7" ht="15.75">
      <c r="A1987" t="str">
        <f t="shared" si="30"/>
        <v>Romanel-sur-MorgesPACCHAUFF</v>
      </c>
      <c r="B1987" s="148">
        <v>5645</v>
      </c>
      <c r="C1987" s="148" t="s">
        <v>619</v>
      </c>
      <c r="D1987" s="148" t="s">
        <v>69</v>
      </c>
      <c r="E1987" s="148">
        <v>142680.29629630002</v>
      </c>
      <c r="F1987" t="s">
        <v>249</v>
      </c>
      <c r="G1987"/>
    </row>
    <row r="1988" spans="1:7" ht="15.75">
      <c r="A1988" t="str">
        <f t="shared" si="30"/>
        <v>Romanel-sur-MorgesSolaireCHAUFF</v>
      </c>
      <c r="B1988" s="148">
        <v>5645</v>
      </c>
      <c r="C1988" s="148" t="s">
        <v>619</v>
      </c>
      <c r="D1988" s="148" t="s">
        <v>240</v>
      </c>
      <c r="E1988" s="148" t="e">
        <v>#N/A</v>
      </c>
      <c r="F1988" t="s">
        <v>249</v>
      </c>
      <c r="G1988"/>
    </row>
    <row r="1989" spans="1:7" ht="15.75">
      <c r="A1989" t="str">
        <f t="shared" si="30"/>
        <v>RoprazAutre agent énergétiqueCHAUFF</v>
      </c>
      <c r="B1989" s="148">
        <v>5798</v>
      </c>
      <c r="C1989" s="148" t="s">
        <v>554</v>
      </c>
      <c r="D1989" s="148" t="s">
        <v>245</v>
      </c>
      <c r="E1989" s="148">
        <v>30991.058823529998</v>
      </c>
      <c r="F1989" t="s">
        <v>249</v>
      </c>
      <c r="G1989"/>
    </row>
    <row r="1990" spans="1:7" ht="15.75">
      <c r="A1990" t="str">
        <f t="shared" si="30"/>
        <v>RoprazBoisCHAUFF</v>
      </c>
      <c r="B1990" s="148">
        <v>5798</v>
      </c>
      <c r="C1990" s="148" t="s">
        <v>554</v>
      </c>
      <c r="D1990" s="148" t="s">
        <v>66</v>
      </c>
      <c r="E1990" s="148">
        <v>1061602.3411764703</v>
      </c>
      <c r="F1990" t="s">
        <v>249</v>
      </c>
      <c r="G1990"/>
    </row>
    <row r="1991" spans="1:7" ht="15.75">
      <c r="A1991" t="str">
        <f t="shared" si="30"/>
        <v>RoprazCADCHAUFF</v>
      </c>
      <c r="B1991" s="148">
        <v>5798</v>
      </c>
      <c r="C1991" s="148" t="s">
        <v>554</v>
      </c>
      <c r="D1991" s="148" t="s">
        <v>242</v>
      </c>
      <c r="E1991" s="148">
        <v>7004.8</v>
      </c>
      <c r="F1991" t="s">
        <v>249</v>
      </c>
      <c r="G1991"/>
    </row>
    <row r="1992" spans="1:7" ht="15.75">
      <c r="A1992" t="str">
        <f t="shared" si="30"/>
        <v>RoprazElectricitéCHAUFF</v>
      </c>
      <c r="B1992" s="148">
        <v>5798</v>
      </c>
      <c r="C1992" s="148" t="s">
        <v>554</v>
      </c>
      <c r="D1992" s="148" t="s">
        <v>97</v>
      </c>
      <c r="E1992" s="148">
        <v>397225.80645160994</v>
      </c>
      <c r="F1992" t="s">
        <v>249</v>
      </c>
      <c r="G1992"/>
    </row>
    <row r="1993" spans="1:7" ht="15.75">
      <c r="A1993" t="str">
        <f t="shared" si="30"/>
        <v>RoprazGazCHAUFF</v>
      </c>
      <c r="B1993" s="148">
        <v>5798</v>
      </c>
      <c r="C1993" s="148" t="s">
        <v>554</v>
      </c>
      <c r="D1993" s="148" t="s">
        <v>239</v>
      </c>
      <c r="E1993" s="148">
        <v>511430.62538698001</v>
      </c>
      <c r="F1993" t="s">
        <v>249</v>
      </c>
      <c r="G1993"/>
    </row>
    <row r="1994" spans="1:7" ht="15.75">
      <c r="A1994" t="str">
        <f t="shared" si="30"/>
        <v>RoprazMazoutCHAUFF</v>
      </c>
      <c r="B1994" s="148">
        <v>5798</v>
      </c>
      <c r="C1994" s="148" t="s">
        <v>554</v>
      </c>
      <c r="D1994" s="148" t="s">
        <v>70</v>
      </c>
      <c r="E1994" s="148">
        <v>3735889.8823529901</v>
      </c>
      <c r="F1994" t="s">
        <v>249</v>
      </c>
      <c r="G1994"/>
    </row>
    <row r="1995" spans="1:7" ht="15.75">
      <c r="A1995" t="str">
        <f t="shared" ref="A1995:A2058" si="31">_xlfn.CONCAT(C1995,D1995,F1995)</f>
        <v>RoprazNon renseignéCHAUFF</v>
      </c>
      <c r="B1995" s="148">
        <v>5798</v>
      </c>
      <c r="C1995" s="148" t="s">
        <v>554</v>
      </c>
      <c r="D1995" s="148" t="s">
        <v>696</v>
      </c>
      <c r="E1995" s="148">
        <v>0</v>
      </c>
      <c r="F1995" t="s">
        <v>249</v>
      </c>
      <c r="G1995"/>
    </row>
    <row r="1996" spans="1:7" ht="15.75">
      <c r="A1996" t="str">
        <f t="shared" si="31"/>
        <v>RoprazPACCHAUFF</v>
      </c>
      <c r="B1996" s="148">
        <v>5798</v>
      </c>
      <c r="C1996" s="148" t="s">
        <v>554</v>
      </c>
      <c r="D1996" s="148" t="s">
        <v>69</v>
      </c>
      <c r="E1996" s="148">
        <v>51866.22222222</v>
      </c>
      <c r="F1996" t="s">
        <v>249</v>
      </c>
      <c r="G1996"/>
    </row>
    <row r="1997" spans="1:7" ht="15.75">
      <c r="A1997" t="str">
        <f t="shared" si="31"/>
        <v>RoprazSolaireCHAUFF</v>
      </c>
      <c r="B1997" s="148">
        <v>5798</v>
      </c>
      <c r="C1997" s="148" t="s">
        <v>554</v>
      </c>
      <c r="D1997" s="148" t="s">
        <v>240</v>
      </c>
      <c r="E1997" s="148" t="e">
        <v>#N/A</v>
      </c>
      <c r="F1997" t="s">
        <v>249</v>
      </c>
      <c r="G1997"/>
    </row>
    <row r="1998" spans="1:7" ht="15.75">
      <c r="A1998" t="str">
        <f t="shared" si="31"/>
        <v>RossengesBoisCHAUFF</v>
      </c>
      <c r="B1998" s="148">
        <v>5684</v>
      </c>
      <c r="C1998" s="148" t="s">
        <v>555</v>
      </c>
      <c r="D1998" s="148" t="s">
        <v>66</v>
      </c>
      <c r="E1998" s="148">
        <v>653074.87333333003</v>
      </c>
      <c r="F1998" t="s">
        <v>249</v>
      </c>
      <c r="G1998"/>
    </row>
    <row r="1999" spans="1:7" ht="15.75">
      <c r="A1999" t="str">
        <f t="shared" si="31"/>
        <v>RossengesCADCHAUFF</v>
      </c>
      <c r="B1999" s="148">
        <v>5684</v>
      </c>
      <c r="C1999" s="148" t="s">
        <v>555</v>
      </c>
      <c r="D1999" s="148" t="s">
        <v>242</v>
      </c>
      <c r="E1999" s="148" t="e">
        <v>#N/A</v>
      </c>
      <c r="F1999" t="s">
        <v>249</v>
      </c>
      <c r="G1999"/>
    </row>
    <row r="2000" spans="1:7" ht="15.75">
      <c r="A2000" t="str">
        <f t="shared" si="31"/>
        <v>RossengesMazoutCHAUFF</v>
      </c>
      <c r="B2000" s="148">
        <v>5684</v>
      </c>
      <c r="C2000" s="148" t="s">
        <v>555</v>
      </c>
      <c r="D2000" s="148" t="s">
        <v>70</v>
      </c>
      <c r="E2000" s="148">
        <v>793310.11764705996</v>
      </c>
      <c r="F2000" t="s">
        <v>249</v>
      </c>
      <c r="G2000"/>
    </row>
    <row r="2001" spans="1:7" ht="15.75">
      <c r="A2001" t="str">
        <f t="shared" si="31"/>
        <v>RossengesPACCHAUFF</v>
      </c>
      <c r="B2001" s="148">
        <v>5684</v>
      </c>
      <c r="C2001" s="148" t="s">
        <v>555</v>
      </c>
      <c r="D2001" s="148" t="s">
        <v>69</v>
      </c>
      <c r="E2001" s="148">
        <v>37523.259259259998</v>
      </c>
      <c r="F2001" t="s">
        <v>249</v>
      </c>
      <c r="G2001"/>
    </row>
    <row r="2002" spans="1:7" ht="15.75">
      <c r="A2002" t="str">
        <f t="shared" si="31"/>
        <v>RossengesElectricitéCHAUFF</v>
      </c>
      <c r="B2002" s="148">
        <v>5684</v>
      </c>
      <c r="C2002" s="148" t="s">
        <v>555</v>
      </c>
      <c r="D2002" s="148" t="s">
        <v>97</v>
      </c>
      <c r="E2002" s="148" t="e">
        <v>#N/A</v>
      </c>
      <c r="F2002" t="s">
        <v>249</v>
      </c>
      <c r="G2002"/>
    </row>
    <row r="2003" spans="1:7" ht="15.75">
      <c r="A2003" t="str">
        <f t="shared" si="31"/>
        <v>RossengesSolaireCHAUFF</v>
      </c>
      <c r="B2003" s="148">
        <v>5684</v>
      </c>
      <c r="C2003" s="148" t="s">
        <v>555</v>
      </c>
      <c r="D2003" s="148" t="s">
        <v>240</v>
      </c>
      <c r="E2003" s="148" t="e">
        <v>#N/A</v>
      </c>
      <c r="F2003" t="s">
        <v>249</v>
      </c>
      <c r="G2003"/>
    </row>
    <row r="2004" spans="1:7" ht="15.75">
      <c r="A2004" t="str">
        <f t="shared" si="31"/>
        <v>RossinièreBoisCHAUFF</v>
      </c>
      <c r="B2004" s="148">
        <v>5842</v>
      </c>
      <c r="C2004" s="148" t="s">
        <v>692</v>
      </c>
      <c r="D2004" s="148" t="s">
        <v>66</v>
      </c>
      <c r="E2004" s="148">
        <v>3592170.9678431298</v>
      </c>
      <c r="F2004" t="s">
        <v>249</v>
      </c>
      <c r="G2004"/>
    </row>
    <row r="2005" spans="1:7" ht="15.75">
      <c r="A2005" t="str">
        <f t="shared" si="31"/>
        <v>RossinièreCADCHAUFF</v>
      </c>
      <c r="B2005" s="148">
        <v>5842</v>
      </c>
      <c r="C2005" s="148" t="s">
        <v>692</v>
      </c>
      <c r="D2005" s="148" t="s">
        <v>242</v>
      </c>
      <c r="E2005" s="148">
        <v>560861.84</v>
      </c>
      <c r="F2005" t="s">
        <v>249</v>
      </c>
      <c r="G2005"/>
    </row>
    <row r="2006" spans="1:7" ht="15.75">
      <c r="A2006" t="str">
        <f t="shared" si="31"/>
        <v>RossinièreElectricitéCHAUFF</v>
      </c>
      <c r="B2006" s="148">
        <v>5842</v>
      </c>
      <c r="C2006" s="148" t="s">
        <v>692</v>
      </c>
      <c r="D2006" s="148" t="s">
        <v>97</v>
      </c>
      <c r="E2006" s="148">
        <v>871383.22580643999</v>
      </c>
      <c r="F2006" t="s">
        <v>249</v>
      </c>
      <c r="G2006"/>
    </row>
    <row r="2007" spans="1:7" ht="15.75">
      <c r="A2007" t="str">
        <f t="shared" si="31"/>
        <v>RossinièreMazoutCHAUFF</v>
      </c>
      <c r="B2007" s="148">
        <v>5842</v>
      </c>
      <c r="C2007" s="148" t="s">
        <v>692</v>
      </c>
      <c r="D2007" s="148" t="s">
        <v>70</v>
      </c>
      <c r="E2007" s="148">
        <v>4417809.8588235211</v>
      </c>
      <c r="F2007" t="s">
        <v>249</v>
      </c>
      <c r="G2007"/>
    </row>
    <row r="2008" spans="1:7" ht="15.75">
      <c r="A2008" t="str">
        <f t="shared" si="31"/>
        <v>RossinièreNon renseignéCHAUFF</v>
      </c>
      <c r="B2008" s="148">
        <v>5842</v>
      </c>
      <c r="C2008" s="148" t="s">
        <v>692</v>
      </c>
      <c r="D2008" s="148" t="s">
        <v>696</v>
      </c>
      <c r="E2008" s="148">
        <v>0</v>
      </c>
      <c r="F2008" t="s">
        <v>249</v>
      </c>
      <c r="G2008"/>
    </row>
    <row r="2009" spans="1:7" ht="15.75">
      <c r="A2009" t="str">
        <f t="shared" si="31"/>
        <v>RossinièrePACCHAUFF</v>
      </c>
      <c r="B2009" s="148">
        <v>5842</v>
      </c>
      <c r="C2009" s="148" t="s">
        <v>692</v>
      </c>
      <c r="D2009" s="148" t="s">
        <v>69</v>
      </c>
      <c r="E2009" s="148">
        <v>206922.20450887995</v>
      </c>
      <c r="F2009" t="s">
        <v>249</v>
      </c>
      <c r="G2009"/>
    </row>
    <row r="2010" spans="1:7" ht="15.75">
      <c r="A2010" t="str">
        <f t="shared" si="31"/>
        <v>RossinièreAutre agent énergétiqueCHAUFF</v>
      </c>
      <c r="B2010" s="148">
        <v>5842</v>
      </c>
      <c r="C2010" s="148" t="s">
        <v>692</v>
      </c>
      <c r="D2010" s="148" t="s">
        <v>245</v>
      </c>
      <c r="E2010" s="148" t="e">
        <v>#N/A</v>
      </c>
      <c r="F2010" t="s">
        <v>249</v>
      </c>
      <c r="G2010"/>
    </row>
    <row r="2011" spans="1:7" ht="15.75">
      <c r="A2011" t="str">
        <f t="shared" si="31"/>
        <v>RossinièreGazCHAUFF</v>
      </c>
      <c r="B2011" s="148">
        <v>5842</v>
      </c>
      <c r="C2011" s="148" t="s">
        <v>692</v>
      </c>
      <c r="D2011" s="148" t="s">
        <v>239</v>
      </c>
      <c r="E2011" s="148" t="e">
        <v>#N/A</v>
      </c>
      <c r="F2011" t="s">
        <v>249</v>
      </c>
      <c r="G2011"/>
    </row>
    <row r="2012" spans="1:7" ht="15.75">
      <c r="A2012" t="str">
        <f t="shared" si="31"/>
        <v>RossinièreSolaireCHAUFF</v>
      </c>
      <c r="B2012" s="148">
        <v>5842</v>
      </c>
      <c r="C2012" s="148" t="s">
        <v>692</v>
      </c>
      <c r="D2012" s="148" t="s">
        <v>240</v>
      </c>
      <c r="E2012" s="148" t="e">
        <v>#N/A</v>
      </c>
      <c r="F2012" t="s">
        <v>249</v>
      </c>
      <c r="G2012"/>
    </row>
    <row r="2013" spans="1:7" ht="15.75">
      <c r="A2013" t="str">
        <f t="shared" si="31"/>
        <v>RougemontBoisCHAUFF</v>
      </c>
      <c r="B2013" s="148">
        <v>5843</v>
      </c>
      <c r="C2013" s="148" t="s">
        <v>556</v>
      </c>
      <c r="D2013" s="148" t="s">
        <v>66</v>
      </c>
      <c r="E2013" s="148">
        <v>4951467.779607879</v>
      </c>
      <c r="F2013" t="s">
        <v>249</v>
      </c>
      <c r="G2013"/>
    </row>
    <row r="2014" spans="1:7" ht="15.75">
      <c r="A2014" t="str">
        <f t="shared" si="31"/>
        <v>RougemontCADCHAUFF</v>
      </c>
      <c r="B2014" s="148">
        <v>5843</v>
      </c>
      <c r="C2014" s="148" t="s">
        <v>556</v>
      </c>
      <c r="D2014" s="148" t="s">
        <v>242</v>
      </c>
      <c r="E2014" s="148">
        <v>74370</v>
      </c>
      <c r="F2014" t="s">
        <v>249</v>
      </c>
      <c r="G2014"/>
    </row>
    <row r="2015" spans="1:7" ht="15.75">
      <c r="A2015" t="str">
        <f t="shared" si="31"/>
        <v>RougemontElectricitéCHAUFF</v>
      </c>
      <c r="B2015" s="148">
        <v>5843</v>
      </c>
      <c r="C2015" s="148" t="s">
        <v>556</v>
      </c>
      <c r="D2015" s="148" t="s">
        <v>97</v>
      </c>
      <c r="E2015" s="148">
        <v>3185517.8763440899</v>
      </c>
      <c r="F2015" t="s">
        <v>249</v>
      </c>
      <c r="G2015"/>
    </row>
    <row r="2016" spans="1:7" ht="15.75">
      <c r="A2016" t="str">
        <f t="shared" si="31"/>
        <v>RougemontGazCHAUFF</v>
      </c>
      <c r="B2016" s="148">
        <v>5843</v>
      </c>
      <c r="C2016" s="148" t="s">
        <v>556</v>
      </c>
      <c r="D2016" s="148" t="s">
        <v>239</v>
      </c>
      <c r="E2016" s="148">
        <v>133828.18575852001</v>
      </c>
      <c r="F2016" t="s">
        <v>249</v>
      </c>
      <c r="G2016"/>
    </row>
    <row r="2017" spans="1:7" ht="15.75">
      <c r="A2017" t="str">
        <f t="shared" si="31"/>
        <v>RougemontMazoutCHAUFF</v>
      </c>
      <c r="B2017" s="148">
        <v>5843</v>
      </c>
      <c r="C2017" s="148" t="s">
        <v>556</v>
      </c>
      <c r="D2017" s="148" t="s">
        <v>70</v>
      </c>
      <c r="E2017" s="148">
        <v>15159655.19987075</v>
      </c>
      <c r="F2017" t="s">
        <v>249</v>
      </c>
      <c r="G2017"/>
    </row>
    <row r="2018" spans="1:7" ht="15.75">
      <c r="A2018" t="str">
        <f t="shared" si="31"/>
        <v>RougemontNon renseignéCHAUFF</v>
      </c>
      <c r="B2018" s="148">
        <v>5843</v>
      </c>
      <c r="C2018" s="148" t="s">
        <v>556</v>
      </c>
      <c r="D2018" s="148" t="s">
        <v>696</v>
      </c>
      <c r="E2018" s="148">
        <v>0</v>
      </c>
      <c r="F2018" t="s">
        <v>249</v>
      </c>
      <c r="G2018"/>
    </row>
    <row r="2019" spans="1:7" ht="15.75">
      <c r="A2019" t="str">
        <f t="shared" si="31"/>
        <v>RougemontPACCHAUFF</v>
      </c>
      <c r="B2019" s="148">
        <v>5843</v>
      </c>
      <c r="C2019" s="148" t="s">
        <v>556</v>
      </c>
      <c r="D2019" s="148" t="s">
        <v>69</v>
      </c>
      <c r="E2019" s="148">
        <v>878532.38945510017</v>
      </c>
      <c r="F2019" t="s">
        <v>249</v>
      </c>
      <c r="G2019"/>
    </row>
    <row r="2020" spans="1:7" ht="15.75">
      <c r="A2020" t="str">
        <f t="shared" si="31"/>
        <v>RougemontSolaireCHAUFF</v>
      </c>
      <c r="B2020" s="148">
        <v>5843</v>
      </c>
      <c r="C2020" s="148" t="s">
        <v>556</v>
      </c>
      <c r="D2020" s="148" t="s">
        <v>240</v>
      </c>
      <c r="E2020" s="148">
        <v>67187.199999999997</v>
      </c>
      <c r="F2020" t="s">
        <v>249</v>
      </c>
      <c r="G2020"/>
    </row>
    <row r="2021" spans="1:7" ht="15.75">
      <c r="A2021" t="str">
        <f t="shared" si="31"/>
        <v>RougemontAutre agent énergétiqueCHAUFF</v>
      </c>
      <c r="B2021" s="148">
        <v>5843</v>
      </c>
      <c r="C2021" s="148" t="s">
        <v>556</v>
      </c>
      <c r="D2021" s="148" t="s">
        <v>245</v>
      </c>
      <c r="E2021" s="148" t="e">
        <v>#N/A</v>
      </c>
      <c r="F2021" t="s">
        <v>249</v>
      </c>
      <c r="G2021"/>
    </row>
    <row r="2022" spans="1:7" ht="15.75">
      <c r="A2022" t="str">
        <f t="shared" si="31"/>
        <v>RovrayBoisCHAUFF</v>
      </c>
      <c r="B2022" s="148">
        <v>5928</v>
      </c>
      <c r="C2022" s="148" t="s">
        <v>557</v>
      </c>
      <c r="D2022" s="148" t="s">
        <v>66</v>
      </c>
      <c r="E2022" s="148">
        <v>724670.78901961003</v>
      </c>
      <c r="F2022" t="s">
        <v>249</v>
      </c>
      <c r="G2022"/>
    </row>
    <row r="2023" spans="1:7" ht="15.75">
      <c r="A2023" t="str">
        <f t="shared" si="31"/>
        <v>RovrayElectricitéCHAUFF</v>
      </c>
      <c r="B2023" s="148">
        <v>5928</v>
      </c>
      <c r="C2023" s="148" t="s">
        <v>557</v>
      </c>
      <c r="D2023" s="148" t="s">
        <v>97</v>
      </c>
      <c r="E2023" s="148">
        <v>199170.75268816997</v>
      </c>
      <c r="F2023" t="s">
        <v>249</v>
      </c>
      <c r="G2023"/>
    </row>
    <row r="2024" spans="1:7" ht="15.75">
      <c r="A2024" t="str">
        <f t="shared" si="31"/>
        <v>RovrayGazCHAUFF</v>
      </c>
      <c r="B2024" s="148">
        <v>5928</v>
      </c>
      <c r="C2024" s="148" t="s">
        <v>557</v>
      </c>
      <c r="D2024" s="148" t="s">
        <v>239</v>
      </c>
      <c r="E2024" s="148">
        <v>712576.89938080998</v>
      </c>
      <c r="F2024" t="s">
        <v>249</v>
      </c>
      <c r="G2024"/>
    </row>
    <row r="2025" spans="1:7" ht="15.75">
      <c r="A2025" t="str">
        <f t="shared" si="31"/>
        <v>RovrayMazoutCHAUFF</v>
      </c>
      <c r="B2025" s="148">
        <v>5928</v>
      </c>
      <c r="C2025" s="148" t="s">
        <v>557</v>
      </c>
      <c r="D2025" s="148" t="s">
        <v>70</v>
      </c>
      <c r="E2025" s="148">
        <v>1634825.3647059</v>
      </c>
      <c r="F2025" t="s">
        <v>249</v>
      </c>
      <c r="G2025"/>
    </row>
    <row r="2026" spans="1:7" ht="15.75">
      <c r="A2026" t="str">
        <f t="shared" si="31"/>
        <v>RovrayNon renseignéCHAUFF</v>
      </c>
      <c r="B2026" s="148">
        <v>5928</v>
      </c>
      <c r="C2026" s="148" t="s">
        <v>557</v>
      </c>
      <c r="D2026" s="148" t="s">
        <v>696</v>
      </c>
      <c r="E2026" s="148">
        <v>0</v>
      </c>
      <c r="F2026" t="s">
        <v>249</v>
      </c>
      <c r="G2026"/>
    </row>
    <row r="2027" spans="1:7" ht="15.75">
      <c r="A2027" t="str">
        <f t="shared" si="31"/>
        <v>RovrayPACCHAUFF</v>
      </c>
      <c r="B2027" s="148">
        <v>5928</v>
      </c>
      <c r="C2027" s="148" t="s">
        <v>557</v>
      </c>
      <c r="D2027" s="148" t="s">
        <v>69</v>
      </c>
      <c r="E2027" s="148">
        <v>64811.610628030001</v>
      </c>
      <c r="F2027" t="s">
        <v>249</v>
      </c>
      <c r="G2027"/>
    </row>
    <row r="2028" spans="1:7" ht="15.75">
      <c r="A2028" t="str">
        <f t="shared" si="31"/>
        <v>RovraySolaireCHAUFF</v>
      </c>
      <c r="B2028" s="148">
        <v>5928</v>
      </c>
      <c r="C2028" s="148" t="s">
        <v>557</v>
      </c>
      <c r="D2028" s="148" t="s">
        <v>240</v>
      </c>
      <c r="E2028" s="148" t="e">
        <v>#N/A</v>
      </c>
      <c r="F2028" t="s">
        <v>249</v>
      </c>
      <c r="G2028"/>
    </row>
    <row r="2029" spans="1:7" ht="15.75">
      <c r="A2029" t="str">
        <f t="shared" si="31"/>
        <v>RueyresBoisCHAUFF</v>
      </c>
      <c r="B2029" s="148">
        <v>5534</v>
      </c>
      <c r="C2029" s="148" t="s">
        <v>558</v>
      </c>
      <c r="D2029" s="148" t="s">
        <v>66</v>
      </c>
      <c r="E2029" s="148">
        <v>1194569.4431372499</v>
      </c>
      <c r="F2029" t="s">
        <v>249</v>
      </c>
      <c r="G2029"/>
    </row>
    <row r="2030" spans="1:7" ht="15.75">
      <c r="A2030" t="str">
        <f t="shared" si="31"/>
        <v>RueyresCADCHAUFF</v>
      </c>
      <c r="B2030" s="148">
        <v>5534</v>
      </c>
      <c r="C2030" s="148" t="s">
        <v>558</v>
      </c>
      <c r="D2030" s="148" t="s">
        <v>242</v>
      </c>
      <c r="E2030" s="148">
        <v>306685.2</v>
      </c>
      <c r="F2030" t="s">
        <v>249</v>
      </c>
      <c r="G2030"/>
    </row>
    <row r="2031" spans="1:7" ht="15.75">
      <c r="A2031" t="str">
        <f t="shared" si="31"/>
        <v>RueyresElectricitéCHAUFF</v>
      </c>
      <c r="B2031" s="148">
        <v>5534</v>
      </c>
      <c r="C2031" s="148" t="s">
        <v>558</v>
      </c>
      <c r="D2031" s="148" t="s">
        <v>97</v>
      </c>
      <c r="E2031" s="148">
        <v>537253.33333333</v>
      </c>
      <c r="F2031" t="s">
        <v>249</v>
      </c>
      <c r="G2031"/>
    </row>
    <row r="2032" spans="1:7" ht="15.75">
      <c r="A2032" t="str">
        <f t="shared" si="31"/>
        <v>RueyresGazCHAUFF</v>
      </c>
      <c r="B2032" s="148">
        <v>5534</v>
      </c>
      <c r="C2032" s="148" t="s">
        <v>558</v>
      </c>
      <c r="D2032" s="148" t="s">
        <v>239</v>
      </c>
      <c r="E2032" s="148">
        <v>1066670.56099071</v>
      </c>
      <c r="F2032" t="s">
        <v>249</v>
      </c>
      <c r="G2032"/>
    </row>
    <row r="2033" spans="1:7" ht="15.75">
      <c r="A2033" t="str">
        <f t="shared" si="31"/>
        <v>RueyresMazoutCHAUFF</v>
      </c>
      <c r="B2033" s="148">
        <v>5534</v>
      </c>
      <c r="C2033" s="148" t="s">
        <v>558</v>
      </c>
      <c r="D2033" s="148" t="s">
        <v>70</v>
      </c>
      <c r="E2033" s="148">
        <v>821753.17647058005</v>
      </c>
      <c r="F2033" t="s">
        <v>249</v>
      </c>
      <c r="G2033"/>
    </row>
    <row r="2034" spans="1:7" ht="15.75">
      <c r="A2034" t="str">
        <f t="shared" si="31"/>
        <v>RueyresNon renseignéCHAUFF</v>
      </c>
      <c r="B2034" s="148">
        <v>5534</v>
      </c>
      <c r="C2034" s="148" t="s">
        <v>558</v>
      </c>
      <c r="D2034" s="148" t="s">
        <v>696</v>
      </c>
      <c r="E2034" s="148">
        <v>0</v>
      </c>
      <c r="F2034" t="s">
        <v>249</v>
      </c>
      <c r="G2034"/>
    </row>
    <row r="2035" spans="1:7" ht="15.75">
      <c r="A2035" t="str">
        <f t="shared" si="31"/>
        <v>RueyresPACCHAUFF</v>
      </c>
      <c r="B2035" s="148">
        <v>5534</v>
      </c>
      <c r="C2035" s="148" t="s">
        <v>558</v>
      </c>
      <c r="D2035" s="148" t="s">
        <v>69</v>
      </c>
      <c r="E2035" s="148">
        <v>66167.259259259998</v>
      </c>
      <c r="F2035" t="s">
        <v>249</v>
      </c>
      <c r="G2035"/>
    </row>
    <row r="2036" spans="1:7" ht="15.75">
      <c r="A2036" t="str">
        <f t="shared" si="31"/>
        <v>RueyresSolaireCHAUFF</v>
      </c>
      <c r="B2036" s="148">
        <v>5534</v>
      </c>
      <c r="C2036" s="148" t="s">
        <v>558</v>
      </c>
      <c r="D2036" s="148" t="s">
        <v>240</v>
      </c>
      <c r="E2036" s="148" t="e">
        <v>#N/A</v>
      </c>
      <c r="F2036" t="s">
        <v>249</v>
      </c>
      <c r="G2036"/>
    </row>
    <row r="2037" spans="1:7" ht="15.75">
      <c r="A2037" t="str">
        <f t="shared" si="31"/>
        <v>Saint-Barthélemy (VD)BoisCHAUFF</v>
      </c>
      <c r="B2037" s="148">
        <v>5535</v>
      </c>
      <c r="C2037" s="148" t="s">
        <v>618</v>
      </c>
      <c r="D2037" s="148" t="s">
        <v>66</v>
      </c>
      <c r="E2037" s="148">
        <v>742623.73333333002</v>
      </c>
      <c r="F2037" t="s">
        <v>249</v>
      </c>
      <c r="G2037"/>
    </row>
    <row r="2038" spans="1:7" ht="15.75">
      <c r="A2038" t="str">
        <f t="shared" si="31"/>
        <v>Saint-Barthélemy (VD)CADCHAUFF</v>
      </c>
      <c r="B2038" s="148">
        <v>5535</v>
      </c>
      <c r="C2038" s="148" t="s">
        <v>618</v>
      </c>
      <c r="D2038" s="148" t="s">
        <v>242</v>
      </c>
      <c r="E2038" s="148">
        <v>319370.40000000002</v>
      </c>
      <c r="F2038" t="s">
        <v>249</v>
      </c>
      <c r="G2038"/>
    </row>
    <row r="2039" spans="1:7" ht="15.75">
      <c r="A2039" t="str">
        <f t="shared" si="31"/>
        <v>Saint-Barthélemy (VD)ElectricitéCHAUFF</v>
      </c>
      <c r="B2039" s="148">
        <v>5535</v>
      </c>
      <c r="C2039" s="148" t="s">
        <v>618</v>
      </c>
      <c r="D2039" s="148" t="s">
        <v>97</v>
      </c>
      <c r="E2039" s="148">
        <v>1035874.4086021597</v>
      </c>
      <c r="F2039" t="s">
        <v>249</v>
      </c>
      <c r="G2039"/>
    </row>
    <row r="2040" spans="1:7" ht="15.75">
      <c r="A2040" t="str">
        <f t="shared" si="31"/>
        <v>Saint-Barthélemy (VD)GazCHAUFF</v>
      </c>
      <c r="B2040" s="148">
        <v>5535</v>
      </c>
      <c r="C2040" s="148" t="s">
        <v>618</v>
      </c>
      <c r="D2040" s="148" t="s">
        <v>239</v>
      </c>
      <c r="E2040" s="148">
        <v>3078848.2321981504</v>
      </c>
      <c r="F2040" t="s">
        <v>249</v>
      </c>
      <c r="G2040"/>
    </row>
    <row r="2041" spans="1:7" ht="15.75">
      <c r="A2041" t="str">
        <f t="shared" si="31"/>
        <v>Saint-Barthélemy (VD)MazoutCHAUFF</v>
      </c>
      <c r="B2041" s="148">
        <v>5535</v>
      </c>
      <c r="C2041" s="148" t="s">
        <v>618</v>
      </c>
      <c r="D2041" s="148" t="s">
        <v>70</v>
      </c>
      <c r="E2041" s="148">
        <v>2309035.3529411703</v>
      </c>
      <c r="F2041" t="s">
        <v>249</v>
      </c>
      <c r="G2041"/>
    </row>
    <row r="2042" spans="1:7" ht="15.75">
      <c r="A2042" t="str">
        <f t="shared" si="31"/>
        <v>Saint-Barthélemy (VD)Non renseignéCHAUFF</v>
      </c>
      <c r="B2042" s="148">
        <v>5535</v>
      </c>
      <c r="C2042" s="148" t="s">
        <v>618</v>
      </c>
      <c r="D2042" s="148" t="s">
        <v>696</v>
      </c>
      <c r="E2042" s="148">
        <v>0</v>
      </c>
      <c r="F2042" t="s">
        <v>249</v>
      </c>
      <c r="G2042"/>
    </row>
    <row r="2043" spans="1:7" ht="15.75">
      <c r="A2043" t="str">
        <f t="shared" si="31"/>
        <v>Saint-Barthélemy (VD)PACCHAUFF</v>
      </c>
      <c r="B2043" s="148">
        <v>5535</v>
      </c>
      <c r="C2043" s="148" t="s">
        <v>618</v>
      </c>
      <c r="D2043" s="148" t="s">
        <v>69</v>
      </c>
      <c r="E2043" s="148">
        <v>189835.61505377997</v>
      </c>
      <c r="F2043" t="s">
        <v>249</v>
      </c>
      <c r="G2043"/>
    </row>
    <row r="2044" spans="1:7" ht="15.75">
      <c r="A2044" t="str">
        <f t="shared" si="31"/>
        <v>Saint-Barthélemy (VD)Autre agent énergétiqueCHAUFF</v>
      </c>
      <c r="B2044" s="148">
        <v>5535</v>
      </c>
      <c r="C2044" s="148" t="s">
        <v>618</v>
      </c>
      <c r="D2044" s="148" t="s">
        <v>245</v>
      </c>
      <c r="E2044" s="148" t="e">
        <v>#N/A</v>
      </c>
      <c r="F2044" t="s">
        <v>249</v>
      </c>
      <c r="G2044"/>
    </row>
    <row r="2045" spans="1:7" ht="15.75">
      <c r="A2045" t="str">
        <f t="shared" si="31"/>
        <v>Saint-Barthélemy (VD)SolaireCHAUFF</v>
      </c>
      <c r="B2045" s="148">
        <v>5535</v>
      </c>
      <c r="C2045" s="148" t="s">
        <v>618</v>
      </c>
      <c r="D2045" s="148" t="s">
        <v>240</v>
      </c>
      <c r="E2045" s="148" t="e">
        <v>#N/A</v>
      </c>
      <c r="F2045" t="s">
        <v>249</v>
      </c>
      <c r="G2045"/>
    </row>
    <row r="2046" spans="1:7" ht="15.75">
      <c r="A2046" t="str">
        <f t="shared" si="31"/>
        <v>Saint-CergueAutre agent énergétiqueCHAUFF</v>
      </c>
      <c r="B2046" s="148">
        <v>5727</v>
      </c>
      <c r="C2046" s="148" t="s">
        <v>559</v>
      </c>
      <c r="D2046" s="148" t="s">
        <v>245</v>
      </c>
      <c r="E2046" s="148">
        <v>12506.352941179999</v>
      </c>
      <c r="F2046" t="s">
        <v>249</v>
      </c>
      <c r="G2046"/>
    </row>
    <row r="2047" spans="1:7" ht="15.75">
      <c r="A2047" t="str">
        <f t="shared" si="31"/>
        <v>Saint-CergueBoisCHAUFF</v>
      </c>
      <c r="B2047" s="148">
        <v>5727</v>
      </c>
      <c r="C2047" s="148" t="s">
        <v>559</v>
      </c>
      <c r="D2047" s="148" t="s">
        <v>66</v>
      </c>
      <c r="E2047" s="148">
        <v>7498484.37647055</v>
      </c>
      <c r="F2047" t="s">
        <v>249</v>
      </c>
      <c r="G2047"/>
    </row>
    <row r="2048" spans="1:7" ht="15.75">
      <c r="A2048" t="str">
        <f t="shared" si="31"/>
        <v>Saint-CergueCADCHAUFF</v>
      </c>
      <c r="B2048" s="148">
        <v>5727</v>
      </c>
      <c r="C2048" s="148" t="s">
        <v>559</v>
      </c>
      <c r="D2048" s="148" t="s">
        <v>242</v>
      </c>
      <c r="E2048" s="148">
        <v>355897</v>
      </c>
      <c r="F2048" t="s">
        <v>249</v>
      </c>
      <c r="G2048"/>
    </row>
    <row r="2049" spans="1:7" ht="15.75">
      <c r="A2049" t="str">
        <f t="shared" si="31"/>
        <v>Saint-CergueCharbonCHAUFF</v>
      </c>
      <c r="B2049" s="148">
        <v>5727</v>
      </c>
      <c r="C2049" s="148" t="s">
        <v>559</v>
      </c>
      <c r="D2049" s="148" t="s">
        <v>695</v>
      </c>
      <c r="E2049" s="148" t="e">
        <v>#N/A</v>
      </c>
      <c r="F2049" t="s">
        <v>249</v>
      </c>
      <c r="G2049"/>
    </row>
    <row r="2050" spans="1:7" ht="15.75">
      <c r="A2050" t="str">
        <f t="shared" si="31"/>
        <v>Saint-CergueElectricitéCHAUFF</v>
      </c>
      <c r="B2050" s="148">
        <v>5727</v>
      </c>
      <c r="C2050" s="148" t="s">
        <v>559</v>
      </c>
      <c r="D2050" s="148" t="s">
        <v>97</v>
      </c>
      <c r="E2050" s="148">
        <v>11094927.322580624</v>
      </c>
      <c r="F2050" t="s">
        <v>249</v>
      </c>
      <c r="G2050"/>
    </row>
    <row r="2051" spans="1:7" ht="15.75">
      <c r="A2051" t="str">
        <f t="shared" si="31"/>
        <v>Saint-CergueGazCHAUFF</v>
      </c>
      <c r="B2051" s="148">
        <v>5727</v>
      </c>
      <c r="C2051" s="148" t="s">
        <v>559</v>
      </c>
      <c r="D2051" s="148" t="s">
        <v>239</v>
      </c>
      <c r="E2051" s="148">
        <v>531700.8668730699</v>
      </c>
      <c r="F2051" t="s">
        <v>249</v>
      </c>
      <c r="G2051"/>
    </row>
    <row r="2052" spans="1:7" ht="15.75">
      <c r="A2052" t="str">
        <f t="shared" si="31"/>
        <v>Saint-CergueMazoutCHAUFF</v>
      </c>
      <c r="B2052" s="148">
        <v>5727</v>
      </c>
      <c r="C2052" s="148" t="s">
        <v>559</v>
      </c>
      <c r="D2052" s="148" t="s">
        <v>70</v>
      </c>
      <c r="E2052" s="148">
        <v>10106773.031674206</v>
      </c>
      <c r="F2052" t="s">
        <v>249</v>
      </c>
      <c r="G2052"/>
    </row>
    <row r="2053" spans="1:7" ht="15.75">
      <c r="A2053" t="str">
        <f t="shared" si="31"/>
        <v>Saint-CergueNon renseignéCHAUFF</v>
      </c>
      <c r="B2053" s="148">
        <v>5727</v>
      </c>
      <c r="C2053" s="148" t="s">
        <v>559</v>
      </c>
      <c r="D2053" s="148" t="s">
        <v>696</v>
      </c>
      <c r="E2053" s="148">
        <v>0</v>
      </c>
      <c r="F2053" t="s">
        <v>249</v>
      </c>
      <c r="G2053"/>
    </row>
    <row r="2054" spans="1:7" ht="15.75">
      <c r="A2054" t="str">
        <f t="shared" si="31"/>
        <v>Saint-CerguePACCHAUFF</v>
      </c>
      <c r="B2054" s="148">
        <v>5727</v>
      </c>
      <c r="C2054" s="148" t="s">
        <v>559</v>
      </c>
      <c r="D2054" s="148" t="s">
        <v>69</v>
      </c>
      <c r="E2054" s="148">
        <v>235132.51932369001</v>
      </c>
      <c r="F2054" t="s">
        <v>249</v>
      </c>
      <c r="G2054"/>
    </row>
    <row r="2055" spans="1:7" ht="15.75">
      <c r="A2055" t="str">
        <f t="shared" si="31"/>
        <v>Saint-CergueSolaireCHAUFF</v>
      </c>
      <c r="B2055" s="148">
        <v>5727</v>
      </c>
      <c r="C2055" s="148" t="s">
        <v>559</v>
      </c>
      <c r="D2055" s="148" t="s">
        <v>240</v>
      </c>
      <c r="E2055" s="148">
        <v>61041.4</v>
      </c>
      <c r="F2055" t="s">
        <v>249</v>
      </c>
      <c r="G2055"/>
    </row>
    <row r="2056" spans="1:7" ht="15.75">
      <c r="A2056" t="str">
        <f t="shared" si="31"/>
        <v>Saint-GeorgeAutre agent énergétiqueCHAUFF</v>
      </c>
      <c r="B2056" s="148">
        <v>5434</v>
      </c>
      <c r="C2056" s="148" t="s">
        <v>560</v>
      </c>
      <c r="D2056" s="148" t="s">
        <v>245</v>
      </c>
      <c r="E2056" s="148">
        <v>8820.7058823499992</v>
      </c>
      <c r="F2056" t="s">
        <v>249</v>
      </c>
      <c r="G2056"/>
    </row>
    <row r="2057" spans="1:7" ht="15.75">
      <c r="A2057" t="str">
        <f t="shared" si="31"/>
        <v>Saint-GeorgeBoisCHAUFF</v>
      </c>
      <c r="B2057" s="148">
        <v>5434</v>
      </c>
      <c r="C2057" s="148" t="s">
        <v>560</v>
      </c>
      <c r="D2057" s="148" t="s">
        <v>66</v>
      </c>
      <c r="E2057" s="148">
        <v>966016.14196078002</v>
      </c>
      <c r="F2057" t="s">
        <v>249</v>
      </c>
      <c r="G2057"/>
    </row>
    <row r="2058" spans="1:7" ht="15.75">
      <c r="A2058" t="str">
        <f t="shared" si="31"/>
        <v>Saint-GeorgeCADCHAUFF</v>
      </c>
      <c r="B2058" s="148">
        <v>5434</v>
      </c>
      <c r="C2058" s="148" t="s">
        <v>560</v>
      </c>
      <c r="D2058" s="148" t="s">
        <v>242</v>
      </c>
      <c r="E2058" s="148">
        <v>1930699.83333333</v>
      </c>
      <c r="F2058" t="s">
        <v>249</v>
      </c>
      <c r="G2058"/>
    </row>
    <row r="2059" spans="1:7" ht="15.75">
      <c r="A2059" t="str">
        <f t="shared" ref="A2059:A2122" si="32">_xlfn.CONCAT(C2059,D2059,F2059)</f>
        <v>Saint-GeorgeElectricitéCHAUFF</v>
      </c>
      <c r="B2059" s="148">
        <v>5434</v>
      </c>
      <c r="C2059" s="148" t="s">
        <v>560</v>
      </c>
      <c r="D2059" s="148" t="s">
        <v>97</v>
      </c>
      <c r="E2059" s="148">
        <v>2216656.5591398096</v>
      </c>
      <c r="F2059" t="s">
        <v>249</v>
      </c>
      <c r="G2059"/>
    </row>
    <row r="2060" spans="1:7" ht="15.75">
      <c r="A2060" t="str">
        <f t="shared" si="32"/>
        <v>Saint-GeorgeGazCHAUFF</v>
      </c>
      <c r="B2060" s="148">
        <v>5434</v>
      </c>
      <c r="C2060" s="148" t="s">
        <v>560</v>
      </c>
      <c r="D2060" s="148" t="s">
        <v>239</v>
      </c>
      <c r="E2060" s="148">
        <v>220658.71207432999</v>
      </c>
      <c r="F2060" t="s">
        <v>249</v>
      </c>
      <c r="G2060"/>
    </row>
    <row r="2061" spans="1:7" ht="15.75">
      <c r="A2061" t="str">
        <f t="shared" si="32"/>
        <v>Saint-GeorgeMazoutCHAUFF</v>
      </c>
      <c r="B2061" s="148">
        <v>5434</v>
      </c>
      <c r="C2061" s="148" t="s">
        <v>560</v>
      </c>
      <c r="D2061" s="148" t="s">
        <v>70</v>
      </c>
      <c r="E2061" s="148">
        <v>4747038.8117646622</v>
      </c>
      <c r="F2061" t="s">
        <v>249</v>
      </c>
      <c r="G2061"/>
    </row>
    <row r="2062" spans="1:7" ht="15.75">
      <c r="A2062" t="str">
        <f t="shared" si="32"/>
        <v>Saint-GeorgeNon renseignéCHAUFF</v>
      </c>
      <c r="B2062" s="148">
        <v>5434</v>
      </c>
      <c r="C2062" s="148" t="s">
        <v>560</v>
      </c>
      <c r="D2062" s="148" t="s">
        <v>696</v>
      </c>
      <c r="E2062" s="148">
        <v>0</v>
      </c>
      <c r="F2062" t="s">
        <v>249</v>
      </c>
      <c r="G2062"/>
    </row>
    <row r="2063" spans="1:7" ht="15.75">
      <c r="A2063" t="str">
        <f t="shared" si="32"/>
        <v>Saint-GeorgePACCHAUFF</v>
      </c>
      <c r="B2063" s="148">
        <v>5434</v>
      </c>
      <c r="C2063" s="148" t="s">
        <v>560</v>
      </c>
      <c r="D2063" s="148" t="s">
        <v>69</v>
      </c>
      <c r="E2063" s="148">
        <v>448644.73559100006</v>
      </c>
      <c r="F2063" t="s">
        <v>249</v>
      </c>
      <c r="G2063"/>
    </row>
    <row r="2064" spans="1:7" ht="15.75">
      <c r="A2064" t="str">
        <f t="shared" si="32"/>
        <v>Saint-GeorgeSolaireCHAUFF</v>
      </c>
      <c r="B2064" s="148">
        <v>5434</v>
      </c>
      <c r="C2064" s="148" t="s">
        <v>560</v>
      </c>
      <c r="D2064" s="148" t="s">
        <v>240</v>
      </c>
      <c r="E2064" s="148">
        <v>14942</v>
      </c>
      <c r="F2064" t="s">
        <v>249</v>
      </c>
      <c r="G2064"/>
    </row>
    <row r="2065" spans="1:7" ht="15.75">
      <c r="A2065" t="str">
        <f t="shared" si="32"/>
        <v>Saint-Légier-La ChiésazAutre agent énergétiqueCHAUFF</v>
      </c>
      <c r="B2065" s="148">
        <v>5888</v>
      </c>
      <c r="C2065" s="148" t="s">
        <v>617</v>
      </c>
      <c r="D2065" s="148" t="s">
        <v>245</v>
      </c>
      <c r="E2065" s="148">
        <v>6537.4117647100002</v>
      </c>
      <c r="F2065" t="s">
        <v>249</v>
      </c>
      <c r="G2065"/>
    </row>
    <row r="2066" spans="1:7" ht="15.75">
      <c r="A2066" t="str">
        <f t="shared" si="32"/>
        <v>Saint-Légier-La ChiésazBoisCHAUFF</v>
      </c>
      <c r="B2066" s="148">
        <v>5888</v>
      </c>
      <c r="C2066" s="148" t="s">
        <v>617</v>
      </c>
      <c r="D2066" s="148" t="s">
        <v>66</v>
      </c>
      <c r="E2066" s="148">
        <v>1625111.66274512</v>
      </c>
      <c r="F2066" t="s">
        <v>249</v>
      </c>
      <c r="G2066"/>
    </row>
    <row r="2067" spans="1:7" ht="15.75">
      <c r="A2067" t="str">
        <f t="shared" si="32"/>
        <v>Saint-Légier-La ChiésazCADCHAUFF</v>
      </c>
      <c r="B2067" s="148">
        <v>5888</v>
      </c>
      <c r="C2067" s="148" t="s">
        <v>617</v>
      </c>
      <c r="D2067" s="148" t="s">
        <v>242</v>
      </c>
      <c r="E2067" s="148">
        <v>1373880.4</v>
      </c>
      <c r="F2067" t="s">
        <v>249</v>
      </c>
      <c r="G2067"/>
    </row>
    <row r="2068" spans="1:7" ht="15.75">
      <c r="A2068" t="str">
        <f t="shared" si="32"/>
        <v>Saint-Légier-La ChiésazElectricitéCHAUFF</v>
      </c>
      <c r="B2068" s="148">
        <v>5888</v>
      </c>
      <c r="C2068" s="148" t="s">
        <v>617</v>
      </c>
      <c r="D2068" s="148" t="s">
        <v>97</v>
      </c>
      <c r="E2068" s="148">
        <v>3265898.44781787</v>
      </c>
      <c r="F2068" t="s">
        <v>249</v>
      </c>
      <c r="G2068"/>
    </row>
    <row r="2069" spans="1:7" ht="15.75">
      <c r="A2069" t="str">
        <f t="shared" si="32"/>
        <v>Saint-Légier-La ChiésazGazCHAUFF</v>
      </c>
      <c r="B2069" s="148">
        <v>5888</v>
      </c>
      <c r="C2069" s="148" t="s">
        <v>617</v>
      </c>
      <c r="D2069" s="148" t="s">
        <v>239</v>
      </c>
      <c r="E2069" s="148">
        <v>31104909.928494513</v>
      </c>
      <c r="F2069" t="s">
        <v>249</v>
      </c>
      <c r="G2069"/>
    </row>
    <row r="2070" spans="1:7" ht="15.75">
      <c r="A2070" t="str">
        <f t="shared" si="32"/>
        <v>Saint-Légier-La ChiésazMazoutCHAUFF</v>
      </c>
      <c r="B2070" s="148">
        <v>5888</v>
      </c>
      <c r="C2070" s="148" t="s">
        <v>617</v>
      </c>
      <c r="D2070" s="148" t="s">
        <v>70</v>
      </c>
      <c r="E2070" s="148">
        <v>18682456.564705875</v>
      </c>
      <c r="F2070" t="s">
        <v>249</v>
      </c>
      <c r="G2070"/>
    </row>
    <row r="2071" spans="1:7" ht="15.75">
      <c r="A2071" t="str">
        <f t="shared" si="32"/>
        <v>Saint-Légier-La ChiésazNon renseignéCHAUFF</v>
      </c>
      <c r="B2071" s="148">
        <v>5888</v>
      </c>
      <c r="C2071" s="148" t="s">
        <v>617</v>
      </c>
      <c r="D2071" s="148" t="s">
        <v>696</v>
      </c>
      <c r="E2071" s="148">
        <v>0</v>
      </c>
      <c r="F2071" t="s">
        <v>249</v>
      </c>
      <c r="G2071"/>
    </row>
    <row r="2072" spans="1:7" ht="15.75">
      <c r="A2072" t="str">
        <f t="shared" si="32"/>
        <v>Saint-Légier-La ChiésazPACCHAUFF</v>
      </c>
      <c r="B2072" s="148">
        <v>5888</v>
      </c>
      <c r="C2072" s="148" t="s">
        <v>617</v>
      </c>
      <c r="D2072" s="148" t="s">
        <v>69</v>
      </c>
      <c r="E2072" s="148">
        <v>791802.92364577006</v>
      </c>
      <c r="F2072" t="s">
        <v>249</v>
      </c>
      <c r="G2072"/>
    </row>
    <row r="2073" spans="1:7" ht="15.75">
      <c r="A2073" t="str">
        <f t="shared" si="32"/>
        <v>Saint-Légier-La ChiésazSolaireCHAUFF</v>
      </c>
      <c r="B2073" s="148">
        <v>5888</v>
      </c>
      <c r="C2073" s="148" t="s">
        <v>617</v>
      </c>
      <c r="D2073" s="148" t="s">
        <v>240</v>
      </c>
      <c r="E2073" s="148">
        <v>44173.8</v>
      </c>
      <c r="F2073" t="s">
        <v>249</v>
      </c>
      <c r="G2073"/>
    </row>
    <row r="2074" spans="1:7" ht="15.75">
      <c r="A2074" t="str">
        <f t="shared" si="32"/>
        <v>Saint-LivresBoisCHAUFF</v>
      </c>
      <c r="B2074" s="148">
        <v>5435</v>
      </c>
      <c r="C2074" s="148" t="s">
        <v>561</v>
      </c>
      <c r="D2074" s="148" t="s">
        <v>66</v>
      </c>
      <c r="E2074" s="148">
        <v>1414583.5321568807</v>
      </c>
      <c r="F2074" t="s">
        <v>249</v>
      </c>
      <c r="G2074"/>
    </row>
    <row r="2075" spans="1:7" ht="15.75">
      <c r="A2075" t="str">
        <f t="shared" si="32"/>
        <v>Saint-LivresElectricitéCHAUFF</v>
      </c>
      <c r="B2075" s="148">
        <v>5435</v>
      </c>
      <c r="C2075" s="148" t="s">
        <v>561</v>
      </c>
      <c r="D2075" s="148" t="s">
        <v>97</v>
      </c>
      <c r="E2075" s="148">
        <v>392879.99999999005</v>
      </c>
      <c r="F2075" t="s">
        <v>249</v>
      </c>
      <c r="G2075"/>
    </row>
    <row r="2076" spans="1:7" ht="15.75">
      <c r="A2076" t="str">
        <f t="shared" si="32"/>
        <v>Saint-LivresGazCHAUFF</v>
      </c>
      <c r="B2076" s="148">
        <v>5435</v>
      </c>
      <c r="C2076" s="148" t="s">
        <v>561</v>
      </c>
      <c r="D2076" s="148" t="s">
        <v>239</v>
      </c>
      <c r="E2076" s="148">
        <v>3189481.8111455799</v>
      </c>
      <c r="F2076" t="s">
        <v>249</v>
      </c>
      <c r="G2076"/>
    </row>
    <row r="2077" spans="1:7" ht="15.75">
      <c r="A2077" t="str">
        <f t="shared" si="32"/>
        <v>Saint-LivresMazoutCHAUFF</v>
      </c>
      <c r="B2077" s="148">
        <v>5435</v>
      </c>
      <c r="C2077" s="148" t="s">
        <v>561</v>
      </c>
      <c r="D2077" s="148" t="s">
        <v>70</v>
      </c>
      <c r="E2077" s="148">
        <v>2310988.9411764797</v>
      </c>
      <c r="F2077" t="s">
        <v>249</v>
      </c>
      <c r="G2077"/>
    </row>
    <row r="2078" spans="1:7" ht="15.75">
      <c r="A2078" t="str">
        <f t="shared" si="32"/>
        <v>Saint-LivresNon renseignéCHAUFF</v>
      </c>
      <c r="B2078" s="148">
        <v>5435</v>
      </c>
      <c r="C2078" s="148" t="s">
        <v>561</v>
      </c>
      <c r="D2078" s="148" t="s">
        <v>696</v>
      </c>
      <c r="E2078" s="148">
        <v>0</v>
      </c>
      <c r="F2078" t="s">
        <v>249</v>
      </c>
      <c r="G2078"/>
    </row>
    <row r="2079" spans="1:7" ht="15.75">
      <c r="A2079" t="str">
        <f t="shared" si="32"/>
        <v>Saint-LivresPACCHAUFF</v>
      </c>
      <c r="B2079" s="148">
        <v>5435</v>
      </c>
      <c r="C2079" s="148" t="s">
        <v>561</v>
      </c>
      <c r="D2079" s="148" t="s">
        <v>69</v>
      </c>
      <c r="E2079" s="148">
        <v>153043.43317232002</v>
      </c>
      <c r="F2079" t="s">
        <v>249</v>
      </c>
      <c r="G2079"/>
    </row>
    <row r="2080" spans="1:7" ht="15.75">
      <c r="A2080" t="str">
        <f t="shared" si="32"/>
        <v>Saint-LivresSolaireCHAUFF</v>
      </c>
      <c r="B2080" s="148">
        <v>5435</v>
      </c>
      <c r="C2080" s="148" t="s">
        <v>561</v>
      </c>
      <c r="D2080" s="148" t="s">
        <v>240</v>
      </c>
      <c r="E2080" s="148" t="e">
        <v>#N/A</v>
      </c>
      <c r="F2080" t="s">
        <v>249</v>
      </c>
      <c r="G2080"/>
    </row>
    <row r="2081" spans="1:7" ht="15.75">
      <c r="A2081" t="str">
        <f t="shared" si="32"/>
        <v>Saint-OyensBoisCHAUFF</v>
      </c>
      <c r="B2081" s="148">
        <v>5436</v>
      </c>
      <c r="C2081" s="148" t="s">
        <v>562</v>
      </c>
      <c r="D2081" s="148" t="s">
        <v>66</v>
      </c>
      <c r="E2081" s="148">
        <v>622738.34666666994</v>
      </c>
      <c r="F2081" t="s">
        <v>249</v>
      </c>
      <c r="G2081"/>
    </row>
    <row r="2082" spans="1:7" ht="15.75">
      <c r="A2082" t="str">
        <f t="shared" si="32"/>
        <v>Saint-OyensCADCHAUFF</v>
      </c>
      <c r="B2082" s="148">
        <v>5436</v>
      </c>
      <c r="C2082" s="148" t="s">
        <v>562</v>
      </c>
      <c r="D2082" s="148" t="s">
        <v>242</v>
      </c>
      <c r="E2082" s="148">
        <v>16732.8</v>
      </c>
      <c r="F2082" t="s">
        <v>249</v>
      </c>
      <c r="G2082"/>
    </row>
    <row r="2083" spans="1:7" ht="15.75">
      <c r="A2083" t="str">
        <f t="shared" si="32"/>
        <v>Saint-OyensElectricitéCHAUFF</v>
      </c>
      <c r="B2083" s="148">
        <v>5436</v>
      </c>
      <c r="C2083" s="148" t="s">
        <v>562</v>
      </c>
      <c r="D2083" s="148" t="s">
        <v>97</v>
      </c>
      <c r="E2083" s="148">
        <v>292932.47311827994</v>
      </c>
      <c r="F2083" t="s">
        <v>249</v>
      </c>
      <c r="G2083"/>
    </row>
    <row r="2084" spans="1:7" ht="15.75">
      <c r="A2084" t="str">
        <f t="shared" si="32"/>
        <v>Saint-OyensGazCHAUFF</v>
      </c>
      <c r="B2084" s="148">
        <v>5436</v>
      </c>
      <c r="C2084" s="148" t="s">
        <v>562</v>
      </c>
      <c r="D2084" s="148" t="s">
        <v>239</v>
      </c>
      <c r="E2084" s="148">
        <v>197693.94427242002</v>
      </c>
      <c r="F2084" t="s">
        <v>249</v>
      </c>
      <c r="G2084"/>
    </row>
    <row r="2085" spans="1:7" ht="15.75">
      <c r="A2085" t="str">
        <f t="shared" si="32"/>
        <v>Saint-OyensMazoutCHAUFF</v>
      </c>
      <c r="B2085" s="148">
        <v>5436</v>
      </c>
      <c r="C2085" s="148" t="s">
        <v>562</v>
      </c>
      <c r="D2085" s="148" t="s">
        <v>70</v>
      </c>
      <c r="E2085" s="148">
        <v>1823098.7336780494</v>
      </c>
      <c r="F2085" t="s">
        <v>249</v>
      </c>
      <c r="G2085"/>
    </row>
    <row r="2086" spans="1:7" ht="15.75">
      <c r="A2086" t="str">
        <f t="shared" si="32"/>
        <v>Saint-OyensNon renseignéCHAUFF</v>
      </c>
      <c r="B2086" s="148">
        <v>5436</v>
      </c>
      <c r="C2086" s="148" t="s">
        <v>562</v>
      </c>
      <c r="D2086" s="148" t="s">
        <v>696</v>
      </c>
      <c r="E2086" s="148">
        <v>0</v>
      </c>
      <c r="F2086" t="s">
        <v>249</v>
      </c>
      <c r="G2086"/>
    </row>
    <row r="2087" spans="1:7" ht="15.75">
      <c r="A2087" t="str">
        <f t="shared" si="32"/>
        <v>Saint-OyensPACCHAUFF</v>
      </c>
      <c r="B2087" s="148">
        <v>5436</v>
      </c>
      <c r="C2087" s="148" t="s">
        <v>562</v>
      </c>
      <c r="D2087" s="148" t="s">
        <v>69</v>
      </c>
      <c r="E2087" s="148">
        <v>341941.27499901009</v>
      </c>
      <c r="F2087" t="s">
        <v>249</v>
      </c>
      <c r="G2087"/>
    </row>
    <row r="2088" spans="1:7" ht="15.75">
      <c r="A2088" t="str">
        <f t="shared" si="32"/>
        <v>Saint-OyensSolaireCHAUFF</v>
      </c>
      <c r="B2088" s="148">
        <v>5436</v>
      </c>
      <c r="C2088" s="148" t="s">
        <v>562</v>
      </c>
      <c r="D2088" s="148" t="s">
        <v>240</v>
      </c>
      <c r="E2088" s="148" t="e">
        <v>#N/A</v>
      </c>
      <c r="F2088" t="s">
        <v>249</v>
      </c>
      <c r="G2088"/>
    </row>
    <row r="2089" spans="1:7" ht="15.75">
      <c r="A2089" t="str">
        <f t="shared" si="32"/>
        <v>Saint-PrexAutre agent énergétiqueCHAUFF</v>
      </c>
      <c r="B2089" s="148">
        <v>5646</v>
      </c>
      <c r="C2089" s="148" t="s">
        <v>563</v>
      </c>
      <c r="D2089" s="148" t="s">
        <v>245</v>
      </c>
      <c r="E2089" s="148">
        <v>20749.176470589999</v>
      </c>
      <c r="F2089" t="s">
        <v>249</v>
      </c>
      <c r="G2089"/>
    </row>
    <row r="2090" spans="1:7" ht="15.75">
      <c r="A2090" t="str">
        <f t="shared" si="32"/>
        <v>Saint-PrexBoisCHAUFF</v>
      </c>
      <c r="B2090" s="148">
        <v>5646</v>
      </c>
      <c r="C2090" s="148" t="s">
        <v>563</v>
      </c>
      <c r="D2090" s="148" t="s">
        <v>66</v>
      </c>
      <c r="E2090" s="148">
        <v>877830.02352939988</v>
      </c>
      <c r="F2090" t="s">
        <v>249</v>
      </c>
      <c r="G2090"/>
    </row>
    <row r="2091" spans="1:7" ht="15.75">
      <c r="A2091" t="str">
        <f t="shared" si="32"/>
        <v>Saint-PrexCADCHAUFF</v>
      </c>
      <c r="B2091" s="148">
        <v>5646</v>
      </c>
      <c r="C2091" s="148" t="s">
        <v>563</v>
      </c>
      <c r="D2091" s="148" t="s">
        <v>242</v>
      </c>
      <c r="E2091" s="148">
        <v>586624.6</v>
      </c>
      <c r="F2091" t="s">
        <v>249</v>
      </c>
      <c r="G2091"/>
    </row>
    <row r="2092" spans="1:7" ht="15.75">
      <c r="A2092" t="str">
        <f t="shared" si="32"/>
        <v>Saint-PrexElectricitéCHAUFF</v>
      </c>
      <c r="B2092" s="148">
        <v>5646</v>
      </c>
      <c r="C2092" s="148" t="s">
        <v>563</v>
      </c>
      <c r="D2092" s="148" t="s">
        <v>97</v>
      </c>
      <c r="E2092" s="148">
        <v>2406393.7634408604</v>
      </c>
      <c r="F2092" t="s">
        <v>249</v>
      </c>
      <c r="G2092"/>
    </row>
    <row r="2093" spans="1:7" ht="15.75">
      <c r="A2093" t="str">
        <f t="shared" si="32"/>
        <v>Saint-PrexGazCHAUFF</v>
      </c>
      <c r="B2093" s="148">
        <v>5646</v>
      </c>
      <c r="C2093" s="148" t="s">
        <v>563</v>
      </c>
      <c r="D2093" s="148" t="s">
        <v>239</v>
      </c>
      <c r="E2093" s="148">
        <v>22968288.513312839</v>
      </c>
      <c r="F2093" t="s">
        <v>249</v>
      </c>
      <c r="G2093"/>
    </row>
    <row r="2094" spans="1:7" ht="15.75">
      <c r="A2094" t="str">
        <f t="shared" si="32"/>
        <v>Saint-PrexMazoutCHAUFF</v>
      </c>
      <c r="B2094" s="148">
        <v>5646</v>
      </c>
      <c r="C2094" s="148" t="s">
        <v>563</v>
      </c>
      <c r="D2094" s="148" t="s">
        <v>70</v>
      </c>
      <c r="E2094" s="148">
        <v>15403609.935294203</v>
      </c>
      <c r="F2094" t="s">
        <v>249</v>
      </c>
      <c r="G2094"/>
    </row>
    <row r="2095" spans="1:7" ht="15.75">
      <c r="A2095" t="str">
        <f t="shared" si="32"/>
        <v>Saint-PrexNon renseignéCHAUFF</v>
      </c>
      <c r="B2095" s="148">
        <v>5646</v>
      </c>
      <c r="C2095" s="148" t="s">
        <v>563</v>
      </c>
      <c r="D2095" s="148" t="s">
        <v>696</v>
      </c>
      <c r="E2095" s="148">
        <v>0</v>
      </c>
      <c r="F2095" t="s">
        <v>249</v>
      </c>
      <c r="G2095"/>
    </row>
    <row r="2096" spans="1:7" ht="15.75">
      <c r="A2096" t="str">
        <f t="shared" si="32"/>
        <v>Saint-PrexPACCHAUFF</v>
      </c>
      <c r="B2096" s="148">
        <v>5646</v>
      </c>
      <c r="C2096" s="148" t="s">
        <v>563</v>
      </c>
      <c r="D2096" s="148" t="s">
        <v>69</v>
      </c>
      <c r="E2096" s="148">
        <v>1276736.6676848</v>
      </c>
      <c r="F2096" t="s">
        <v>249</v>
      </c>
      <c r="G2096"/>
    </row>
    <row r="2097" spans="1:7" ht="15.75">
      <c r="A2097" t="str">
        <f t="shared" si="32"/>
        <v>Saint-PrexSolaireCHAUFF</v>
      </c>
      <c r="B2097" s="148">
        <v>5646</v>
      </c>
      <c r="C2097" s="148" t="s">
        <v>563</v>
      </c>
      <c r="D2097" s="148" t="s">
        <v>240</v>
      </c>
      <c r="E2097" s="148">
        <v>17112</v>
      </c>
      <c r="F2097" t="s">
        <v>249</v>
      </c>
      <c r="G2097"/>
    </row>
    <row r="2098" spans="1:7" ht="15.75">
      <c r="A2098" t="str">
        <f t="shared" si="32"/>
        <v>Saint-Saphorin (Lavaux)Autre agent énergétiqueCHAUFF</v>
      </c>
      <c r="B2098" s="148">
        <v>5610</v>
      </c>
      <c r="C2098" s="148" t="s">
        <v>564</v>
      </c>
      <c r="D2098" s="148" t="s">
        <v>245</v>
      </c>
      <c r="E2098" s="148">
        <v>6415.0588235300002</v>
      </c>
      <c r="F2098" t="s">
        <v>249</v>
      </c>
      <c r="G2098"/>
    </row>
    <row r="2099" spans="1:7" ht="15.75">
      <c r="A2099" t="str">
        <f t="shared" si="32"/>
        <v>Saint-Saphorin (Lavaux)BoisCHAUFF</v>
      </c>
      <c r="B2099" s="148">
        <v>5610</v>
      </c>
      <c r="C2099" s="148" t="s">
        <v>564</v>
      </c>
      <c r="D2099" s="148" t="s">
        <v>66</v>
      </c>
      <c r="E2099" s="148">
        <v>56991.733333330005</v>
      </c>
      <c r="F2099" t="s">
        <v>249</v>
      </c>
      <c r="G2099"/>
    </row>
    <row r="2100" spans="1:7" ht="15.75">
      <c r="A2100" t="str">
        <f t="shared" si="32"/>
        <v>Saint-Saphorin (Lavaux)ElectricitéCHAUFF</v>
      </c>
      <c r="B2100" s="148">
        <v>5610</v>
      </c>
      <c r="C2100" s="148" t="s">
        <v>564</v>
      </c>
      <c r="D2100" s="148" t="s">
        <v>97</v>
      </c>
      <c r="E2100" s="148">
        <v>101203.44086021</v>
      </c>
      <c r="F2100" t="s">
        <v>249</v>
      </c>
      <c r="G2100"/>
    </row>
    <row r="2101" spans="1:7" ht="15.75">
      <c r="A2101" t="str">
        <f t="shared" si="32"/>
        <v>Saint-Saphorin (Lavaux)GazCHAUFF</v>
      </c>
      <c r="B2101" s="148">
        <v>5610</v>
      </c>
      <c r="C2101" s="148" t="s">
        <v>564</v>
      </c>
      <c r="D2101" s="148" t="s">
        <v>239</v>
      </c>
      <c r="E2101" s="148">
        <v>2968080.9386996604</v>
      </c>
      <c r="F2101" t="s">
        <v>249</v>
      </c>
      <c r="G2101"/>
    </row>
    <row r="2102" spans="1:7" ht="15.75">
      <c r="A2102" t="str">
        <f t="shared" si="32"/>
        <v>Saint-Saphorin (Lavaux)MazoutCHAUFF</v>
      </c>
      <c r="B2102" s="148">
        <v>5610</v>
      </c>
      <c r="C2102" s="148" t="s">
        <v>564</v>
      </c>
      <c r="D2102" s="148" t="s">
        <v>70</v>
      </c>
      <c r="E2102" s="148">
        <v>2037104.2352941202</v>
      </c>
      <c r="F2102" t="s">
        <v>249</v>
      </c>
      <c r="G2102"/>
    </row>
    <row r="2103" spans="1:7" ht="15.75">
      <c r="A2103" t="str">
        <f t="shared" si="32"/>
        <v>Saint-Saphorin (Lavaux)PACCHAUFF</v>
      </c>
      <c r="B2103" s="148">
        <v>5610</v>
      </c>
      <c r="C2103" s="148" t="s">
        <v>564</v>
      </c>
      <c r="D2103" s="148" t="s">
        <v>69</v>
      </c>
      <c r="E2103" s="148">
        <v>14454.814814810001</v>
      </c>
      <c r="F2103" t="s">
        <v>249</v>
      </c>
      <c r="G2103"/>
    </row>
    <row r="2104" spans="1:7" ht="15.75">
      <c r="A2104" t="str">
        <f t="shared" si="32"/>
        <v>Saint-Saphorin (Lavaux)SolaireCHAUFF</v>
      </c>
      <c r="B2104" s="148">
        <v>5610</v>
      </c>
      <c r="C2104" s="148" t="s">
        <v>564</v>
      </c>
      <c r="D2104" s="148" t="s">
        <v>240</v>
      </c>
      <c r="E2104" s="148" t="e">
        <v>#N/A</v>
      </c>
      <c r="F2104" t="s">
        <v>249</v>
      </c>
      <c r="G2104"/>
    </row>
    <row r="2105" spans="1:7" ht="15.75">
      <c r="A2105" t="str">
        <f t="shared" si="32"/>
        <v>Saint-Sulpice (VD)BoisCHAUFF</v>
      </c>
      <c r="B2105" s="148">
        <v>5648</v>
      </c>
      <c r="C2105" s="148" t="s">
        <v>693</v>
      </c>
      <c r="D2105" s="148" t="s">
        <v>66</v>
      </c>
      <c r="E2105" s="148">
        <v>1755315.9905882201</v>
      </c>
      <c r="F2105" t="s">
        <v>249</v>
      </c>
      <c r="G2105"/>
    </row>
    <row r="2106" spans="1:7" ht="15.75">
      <c r="A2106" t="str">
        <f t="shared" si="32"/>
        <v>Saint-Sulpice (VD)CADCHAUFF</v>
      </c>
      <c r="B2106" s="148">
        <v>5648</v>
      </c>
      <c r="C2106" s="148" t="s">
        <v>693</v>
      </c>
      <c r="D2106" s="148" t="s">
        <v>242</v>
      </c>
      <c r="E2106" s="148">
        <v>239485.6</v>
      </c>
      <c r="F2106" t="s">
        <v>249</v>
      </c>
      <c r="G2106"/>
    </row>
    <row r="2107" spans="1:7" ht="15.75">
      <c r="A2107" t="str">
        <f t="shared" si="32"/>
        <v>Saint-Sulpice (VD)ElectricitéCHAUFF</v>
      </c>
      <c r="B2107" s="148">
        <v>5648</v>
      </c>
      <c r="C2107" s="148" t="s">
        <v>693</v>
      </c>
      <c r="D2107" s="148" t="s">
        <v>97</v>
      </c>
      <c r="E2107" s="148">
        <v>877255.05376346002</v>
      </c>
      <c r="F2107" t="s">
        <v>249</v>
      </c>
      <c r="G2107"/>
    </row>
    <row r="2108" spans="1:7" ht="15.75">
      <c r="A2108" t="str">
        <f t="shared" si="32"/>
        <v>Saint-Sulpice (VD)GazCHAUFF</v>
      </c>
      <c r="B2108" s="148">
        <v>5648</v>
      </c>
      <c r="C2108" s="148" t="s">
        <v>693</v>
      </c>
      <c r="D2108" s="148" t="s">
        <v>239</v>
      </c>
      <c r="E2108" s="148">
        <v>21433501.065015484</v>
      </c>
      <c r="F2108" t="s">
        <v>249</v>
      </c>
      <c r="G2108"/>
    </row>
    <row r="2109" spans="1:7" ht="15.75">
      <c r="A2109" t="str">
        <f t="shared" si="32"/>
        <v>Saint-Sulpice (VD)MazoutCHAUFF</v>
      </c>
      <c r="B2109" s="148">
        <v>5648</v>
      </c>
      <c r="C2109" s="148" t="s">
        <v>693</v>
      </c>
      <c r="D2109" s="148" t="s">
        <v>70</v>
      </c>
      <c r="E2109" s="148">
        <v>10351459.588235369</v>
      </c>
      <c r="F2109" t="s">
        <v>249</v>
      </c>
      <c r="G2109"/>
    </row>
    <row r="2110" spans="1:7" ht="15.75">
      <c r="A2110" t="str">
        <f t="shared" si="32"/>
        <v>Saint-Sulpice (VD)Non renseignéCHAUFF</v>
      </c>
      <c r="B2110" s="148">
        <v>5648</v>
      </c>
      <c r="C2110" s="148" t="s">
        <v>693</v>
      </c>
      <c r="D2110" s="148" t="s">
        <v>696</v>
      </c>
      <c r="E2110" s="148">
        <v>0</v>
      </c>
      <c r="F2110" t="s">
        <v>249</v>
      </c>
      <c r="G2110"/>
    </row>
    <row r="2111" spans="1:7" ht="15.75">
      <c r="A2111" t="str">
        <f t="shared" si="32"/>
        <v>Saint-Sulpice (VD)PACCHAUFF</v>
      </c>
      <c r="B2111" s="148">
        <v>5648</v>
      </c>
      <c r="C2111" s="148" t="s">
        <v>693</v>
      </c>
      <c r="D2111" s="148" t="s">
        <v>69</v>
      </c>
      <c r="E2111" s="148">
        <v>1078837.8183990698</v>
      </c>
      <c r="F2111" t="s">
        <v>249</v>
      </c>
      <c r="G2111"/>
    </row>
    <row r="2112" spans="1:7" ht="15.75">
      <c r="A2112" t="str">
        <f t="shared" si="32"/>
        <v>Saint-Sulpice (VD)Autre agent énergétiqueCHAUFF</v>
      </c>
      <c r="B2112" s="148">
        <v>5648</v>
      </c>
      <c r="C2112" s="148" t="s">
        <v>693</v>
      </c>
      <c r="D2112" s="148" t="s">
        <v>245</v>
      </c>
      <c r="E2112" s="148" t="e">
        <v>#N/A</v>
      </c>
      <c r="F2112" t="s">
        <v>249</v>
      </c>
      <c r="G2112"/>
    </row>
    <row r="2113" spans="1:7" ht="15.75">
      <c r="A2113" t="str">
        <f t="shared" si="32"/>
        <v>Saint-Sulpice (VD)SolaireCHAUFF</v>
      </c>
      <c r="B2113" s="148">
        <v>5648</v>
      </c>
      <c r="C2113" s="148" t="s">
        <v>693</v>
      </c>
      <c r="D2113" s="148" t="s">
        <v>240</v>
      </c>
      <c r="E2113" s="148" t="e">
        <v>#N/A</v>
      </c>
      <c r="F2113" t="s">
        <v>249</v>
      </c>
      <c r="G2113"/>
    </row>
    <row r="2114" spans="1:7" ht="15.75">
      <c r="A2114" t="str">
        <f t="shared" si="32"/>
        <v>Sainte-CroixBoisCHAUFF</v>
      </c>
      <c r="B2114" s="148">
        <v>5568</v>
      </c>
      <c r="C2114" s="148" t="s">
        <v>565</v>
      </c>
      <c r="D2114" s="148" t="s">
        <v>66</v>
      </c>
      <c r="E2114" s="148">
        <v>7010498.356862708</v>
      </c>
      <c r="F2114" t="s">
        <v>249</v>
      </c>
      <c r="G2114"/>
    </row>
    <row r="2115" spans="1:7" ht="15.75">
      <c r="A2115" t="str">
        <f t="shared" si="32"/>
        <v>Sainte-CroixCADCHAUFF</v>
      </c>
      <c r="B2115" s="148">
        <v>5568</v>
      </c>
      <c r="C2115" s="148" t="s">
        <v>565</v>
      </c>
      <c r="D2115" s="148" t="s">
        <v>242</v>
      </c>
      <c r="E2115" s="148">
        <v>1592130.8</v>
      </c>
      <c r="F2115" t="s">
        <v>249</v>
      </c>
      <c r="G2115"/>
    </row>
    <row r="2116" spans="1:7" ht="15.75">
      <c r="A2116" t="str">
        <f t="shared" si="32"/>
        <v>Sainte-CroixElectricitéCHAUFF</v>
      </c>
      <c r="B2116" s="148">
        <v>5568</v>
      </c>
      <c r="C2116" s="148" t="s">
        <v>565</v>
      </c>
      <c r="D2116" s="148" t="s">
        <v>97</v>
      </c>
      <c r="E2116" s="148">
        <v>2405795.3225806295</v>
      </c>
      <c r="F2116" t="s">
        <v>249</v>
      </c>
      <c r="G2116"/>
    </row>
    <row r="2117" spans="1:7" ht="15.75">
      <c r="A2117" t="str">
        <f t="shared" si="32"/>
        <v>Sainte-CroixGazCHAUFF</v>
      </c>
      <c r="B2117" s="148">
        <v>5568</v>
      </c>
      <c r="C2117" s="148" t="s">
        <v>565</v>
      </c>
      <c r="D2117" s="148" t="s">
        <v>239</v>
      </c>
      <c r="E2117" s="148">
        <v>35411876.369659498</v>
      </c>
      <c r="F2117" t="s">
        <v>249</v>
      </c>
      <c r="G2117"/>
    </row>
    <row r="2118" spans="1:7" ht="15.75">
      <c r="A2118" t="str">
        <f t="shared" si="32"/>
        <v>Sainte-CroixMazoutCHAUFF</v>
      </c>
      <c r="B2118" s="148">
        <v>5568</v>
      </c>
      <c r="C2118" s="148" t="s">
        <v>565</v>
      </c>
      <c r="D2118" s="148" t="s">
        <v>70</v>
      </c>
      <c r="E2118" s="148">
        <v>27348685.684210554</v>
      </c>
      <c r="F2118" t="s">
        <v>249</v>
      </c>
      <c r="G2118"/>
    </row>
    <row r="2119" spans="1:7" ht="15.75">
      <c r="A2119" t="str">
        <f t="shared" si="32"/>
        <v>Sainte-CroixNon renseignéCHAUFF</v>
      </c>
      <c r="B2119" s="148">
        <v>5568</v>
      </c>
      <c r="C2119" s="148" t="s">
        <v>565</v>
      </c>
      <c r="D2119" s="148" t="s">
        <v>696</v>
      </c>
      <c r="E2119" s="148">
        <v>0</v>
      </c>
      <c r="F2119" t="s">
        <v>249</v>
      </c>
      <c r="G2119"/>
    </row>
    <row r="2120" spans="1:7" ht="15.75">
      <c r="A2120" t="str">
        <f t="shared" si="32"/>
        <v>Sainte-CroixPACCHAUFF</v>
      </c>
      <c r="B2120" s="148">
        <v>5568</v>
      </c>
      <c r="C2120" s="148" t="s">
        <v>565</v>
      </c>
      <c r="D2120" s="148" t="s">
        <v>69</v>
      </c>
      <c r="E2120" s="148">
        <v>333217.05376344</v>
      </c>
      <c r="F2120" t="s">
        <v>249</v>
      </c>
      <c r="G2120"/>
    </row>
    <row r="2121" spans="1:7" ht="15.75">
      <c r="A2121" t="str">
        <f t="shared" si="32"/>
        <v>Sainte-CroixSolaireCHAUFF</v>
      </c>
      <c r="B2121" s="148">
        <v>5568</v>
      </c>
      <c r="C2121" s="148" t="s">
        <v>565</v>
      </c>
      <c r="D2121" s="148" t="s">
        <v>240</v>
      </c>
      <c r="E2121" s="148">
        <v>86232</v>
      </c>
      <c r="F2121" t="s">
        <v>249</v>
      </c>
      <c r="G2121"/>
    </row>
    <row r="2122" spans="1:7" ht="15.75">
      <c r="A2122" t="str">
        <f t="shared" si="32"/>
        <v>SaubrazBoisCHAUFF</v>
      </c>
      <c r="B2122" s="148">
        <v>5437</v>
      </c>
      <c r="C2122" s="148" t="s">
        <v>566</v>
      </c>
      <c r="D2122" s="148" t="s">
        <v>66</v>
      </c>
      <c r="E2122" s="148">
        <v>812428.16000000993</v>
      </c>
      <c r="F2122" t="s">
        <v>249</v>
      </c>
      <c r="G2122"/>
    </row>
    <row r="2123" spans="1:7" ht="15.75">
      <c r="A2123" t="str">
        <f t="shared" ref="A2123:A2186" si="33">_xlfn.CONCAT(C2123,D2123,F2123)</f>
        <v>SaubrazElectricitéCHAUFF</v>
      </c>
      <c r="B2123" s="148">
        <v>5437</v>
      </c>
      <c r="C2123" s="148" t="s">
        <v>566</v>
      </c>
      <c r="D2123" s="148" t="s">
        <v>97</v>
      </c>
      <c r="E2123" s="148">
        <v>308467.09677418997</v>
      </c>
      <c r="F2123" t="s">
        <v>249</v>
      </c>
      <c r="G2123"/>
    </row>
    <row r="2124" spans="1:7" ht="15.75">
      <c r="A2124" t="str">
        <f t="shared" si="33"/>
        <v>SaubrazGazCHAUFF</v>
      </c>
      <c r="B2124" s="148">
        <v>5437</v>
      </c>
      <c r="C2124" s="148" t="s">
        <v>566</v>
      </c>
      <c r="D2124" s="148" t="s">
        <v>239</v>
      </c>
      <c r="E2124" s="148">
        <v>1013164.3219814003</v>
      </c>
      <c r="F2124" t="s">
        <v>249</v>
      </c>
      <c r="G2124"/>
    </row>
    <row r="2125" spans="1:7" ht="15.75">
      <c r="A2125" t="str">
        <f t="shared" si="33"/>
        <v>SaubrazMazoutCHAUFF</v>
      </c>
      <c r="B2125" s="148">
        <v>5437</v>
      </c>
      <c r="C2125" s="148" t="s">
        <v>566</v>
      </c>
      <c r="D2125" s="148" t="s">
        <v>70</v>
      </c>
      <c r="E2125" s="148">
        <v>2000311.6235293997</v>
      </c>
      <c r="F2125" t="s">
        <v>249</v>
      </c>
      <c r="G2125"/>
    </row>
    <row r="2126" spans="1:7" ht="15.75">
      <c r="A2126" t="str">
        <f t="shared" si="33"/>
        <v>SaubrazNon renseignéCHAUFF</v>
      </c>
      <c r="B2126" s="148">
        <v>5437</v>
      </c>
      <c r="C2126" s="148" t="s">
        <v>566</v>
      </c>
      <c r="D2126" s="148" t="s">
        <v>696</v>
      </c>
      <c r="E2126" s="148">
        <v>0</v>
      </c>
      <c r="F2126" t="s">
        <v>249</v>
      </c>
      <c r="G2126"/>
    </row>
    <row r="2127" spans="1:7" ht="15.75">
      <c r="A2127" t="str">
        <f t="shared" si="33"/>
        <v>SaubrazPACCHAUFF</v>
      </c>
      <c r="B2127" s="148">
        <v>5437</v>
      </c>
      <c r="C2127" s="148" t="s">
        <v>566</v>
      </c>
      <c r="D2127" s="148" t="s">
        <v>69</v>
      </c>
      <c r="E2127" s="148">
        <v>103315.46974182999</v>
      </c>
      <c r="F2127" t="s">
        <v>249</v>
      </c>
      <c r="G2127"/>
    </row>
    <row r="2128" spans="1:7" ht="15.75">
      <c r="A2128" t="str">
        <f t="shared" si="33"/>
        <v>SaubrazSolaireCHAUFF</v>
      </c>
      <c r="B2128" s="148">
        <v>5437</v>
      </c>
      <c r="C2128" s="148" t="s">
        <v>566</v>
      </c>
      <c r="D2128" s="148" t="s">
        <v>240</v>
      </c>
      <c r="E2128" s="148" t="e">
        <v>#N/A</v>
      </c>
      <c r="F2128" t="s">
        <v>249</v>
      </c>
      <c r="G2128"/>
    </row>
    <row r="2129" spans="1:7" ht="15.75">
      <c r="A2129" t="str">
        <f t="shared" si="33"/>
        <v>SavignyAutre agent énergétiqueCHAUFF</v>
      </c>
      <c r="B2129" s="148">
        <v>5611</v>
      </c>
      <c r="C2129" s="148" t="s">
        <v>567</v>
      </c>
      <c r="D2129" s="148" t="s">
        <v>245</v>
      </c>
      <c r="E2129" s="148">
        <v>303665.88235293998</v>
      </c>
      <c r="F2129" t="s">
        <v>249</v>
      </c>
      <c r="G2129"/>
    </row>
    <row r="2130" spans="1:7" ht="15.75">
      <c r="A2130" t="str">
        <f t="shared" si="33"/>
        <v>SavignyBoisCHAUFF</v>
      </c>
      <c r="B2130" s="148">
        <v>5611</v>
      </c>
      <c r="C2130" s="148" t="s">
        <v>567</v>
      </c>
      <c r="D2130" s="148" t="s">
        <v>66</v>
      </c>
      <c r="E2130" s="148">
        <v>4396892.4141176315</v>
      </c>
      <c r="F2130" t="s">
        <v>249</v>
      </c>
      <c r="G2130"/>
    </row>
    <row r="2131" spans="1:7" ht="15.75">
      <c r="A2131" t="str">
        <f t="shared" si="33"/>
        <v>SavignyCADCHAUFF</v>
      </c>
      <c r="B2131" s="148">
        <v>5611</v>
      </c>
      <c r="C2131" s="148" t="s">
        <v>567</v>
      </c>
      <c r="D2131" s="148" t="s">
        <v>242</v>
      </c>
      <c r="E2131" s="148">
        <v>1604184.7999999998</v>
      </c>
      <c r="F2131" t="s">
        <v>249</v>
      </c>
      <c r="G2131"/>
    </row>
    <row r="2132" spans="1:7" ht="15.75">
      <c r="A2132" t="str">
        <f t="shared" si="33"/>
        <v>SavignyElectricitéCHAUFF</v>
      </c>
      <c r="B2132" s="148">
        <v>5611</v>
      </c>
      <c r="C2132" s="148" t="s">
        <v>567</v>
      </c>
      <c r="D2132" s="148" t="s">
        <v>97</v>
      </c>
      <c r="E2132" s="148">
        <v>6040244.3978494927</v>
      </c>
      <c r="F2132" t="s">
        <v>249</v>
      </c>
      <c r="G2132"/>
    </row>
    <row r="2133" spans="1:7" ht="15.75">
      <c r="A2133" t="str">
        <f t="shared" si="33"/>
        <v>SavignyGazCHAUFF</v>
      </c>
      <c r="B2133" s="148">
        <v>5611</v>
      </c>
      <c r="C2133" s="148" t="s">
        <v>567</v>
      </c>
      <c r="D2133" s="148" t="s">
        <v>239</v>
      </c>
      <c r="E2133" s="148">
        <v>4851017.8775541093</v>
      </c>
      <c r="F2133" t="s">
        <v>249</v>
      </c>
      <c r="G2133"/>
    </row>
    <row r="2134" spans="1:7" ht="15.75">
      <c r="A2134" t="str">
        <f t="shared" si="33"/>
        <v>SavignyMazoutCHAUFF</v>
      </c>
      <c r="B2134" s="148">
        <v>5611</v>
      </c>
      <c r="C2134" s="148" t="s">
        <v>567</v>
      </c>
      <c r="D2134" s="148" t="s">
        <v>70</v>
      </c>
      <c r="E2134" s="148">
        <v>23603285.400000088</v>
      </c>
      <c r="F2134" t="s">
        <v>249</v>
      </c>
      <c r="G2134"/>
    </row>
    <row r="2135" spans="1:7" ht="15.75">
      <c r="A2135" t="str">
        <f t="shared" si="33"/>
        <v>SavignyNon renseignéCHAUFF</v>
      </c>
      <c r="B2135" s="148">
        <v>5611</v>
      </c>
      <c r="C2135" s="148" t="s">
        <v>567</v>
      </c>
      <c r="D2135" s="148" t="s">
        <v>696</v>
      </c>
      <c r="E2135" s="148">
        <v>0</v>
      </c>
      <c r="F2135" t="s">
        <v>249</v>
      </c>
      <c r="G2135"/>
    </row>
    <row r="2136" spans="1:7" ht="15.75">
      <c r="A2136" t="str">
        <f t="shared" si="33"/>
        <v>SavignyPACCHAUFF</v>
      </c>
      <c r="B2136" s="148">
        <v>5611</v>
      </c>
      <c r="C2136" s="148" t="s">
        <v>567</v>
      </c>
      <c r="D2136" s="148" t="s">
        <v>69</v>
      </c>
      <c r="E2136" s="148">
        <v>988176.36373817013</v>
      </c>
      <c r="F2136" t="s">
        <v>249</v>
      </c>
      <c r="G2136"/>
    </row>
    <row r="2137" spans="1:7" ht="15.75">
      <c r="A2137" t="str">
        <f t="shared" si="33"/>
        <v>SavignySolaireCHAUFF</v>
      </c>
      <c r="B2137" s="148">
        <v>5611</v>
      </c>
      <c r="C2137" s="148" t="s">
        <v>567</v>
      </c>
      <c r="D2137" s="148" t="s">
        <v>240</v>
      </c>
      <c r="E2137" s="148" t="e">
        <v>#N/A</v>
      </c>
      <c r="F2137" t="s">
        <v>249</v>
      </c>
      <c r="G2137"/>
    </row>
    <row r="2138" spans="1:7" ht="15.75">
      <c r="A2138" t="str">
        <f t="shared" si="33"/>
        <v>SenarclensBoisCHAUFF</v>
      </c>
      <c r="B2138" s="148">
        <v>5499</v>
      </c>
      <c r="C2138" s="148" t="s">
        <v>568</v>
      </c>
      <c r="D2138" s="148" t="s">
        <v>66</v>
      </c>
      <c r="E2138" s="148">
        <v>66761.882352940011</v>
      </c>
      <c r="F2138" t="s">
        <v>249</v>
      </c>
      <c r="G2138"/>
    </row>
    <row r="2139" spans="1:7" ht="15.75">
      <c r="A2139" t="str">
        <f t="shared" si="33"/>
        <v>SenarclensElectricitéCHAUFF</v>
      </c>
      <c r="B2139" s="148">
        <v>5499</v>
      </c>
      <c r="C2139" s="148" t="s">
        <v>568</v>
      </c>
      <c r="D2139" s="148" t="s">
        <v>97</v>
      </c>
      <c r="E2139" s="148">
        <v>693323.97849461995</v>
      </c>
      <c r="F2139" t="s">
        <v>249</v>
      </c>
      <c r="G2139"/>
    </row>
    <row r="2140" spans="1:7" ht="15.75">
      <c r="A2140" t="str">
        <f t="shared" si="33"/>
        <v>SenarclensGazCHAUFF</v>
      </c>
      <c r="B2140" s="148">
        <v>5499</v>
      </c>
      <c r="C2140" s="148" t="s">
        <v>568</v>
      </c>
      <c r="D2140" s="148" t="s">
        <v>239</v>
      </c>
      <c r="E2140" s="148">
        <v>2670803.6160991094</v>
      </c>
      <c r="F2140" t="s">
        <v>249</v>
      </c>
      <c r="G2140"/>
    </row>
    <row r="2141" spans="1:7" ht="15.75">
      <c r="A2141" t="str">
        <f t="shared" si="33"/>
        <v>SenarclensMazoutCHAUFF</v>
      </c>
      <c r="B2141" s="148">
        <v>5499</v>
      </c>
      <c r="C2141" s="148" t="s">
        <v>568</v>
      </c>
      <c r="D2141" s="148" t="s">
        <v>70</v>
      </c>
      <c r="E2141" s="148">
        <v>2400836.4705882198</v>
      </c>
      <c r="F2141" t="s">
        <v>249</v>
      </c>
      <c r="G2141"/>
    </row>
    <row r="2142" spans="1:7" ht="15.75">
      <c r="A2142" t="str">
        <f t="shared" si="33"/>
        <v>SenarclensNon renseignéCHAUFF</v>
      </c>
      <c r="B2142" s="148">
        <v>5499</v>
      </c>
      <c r="C2142" s="148" t="s">
        <v>568</v>
      </c>
      <c r="D2142" s="148" t="s">
        <v>696</v>
      </c>
      <c r="E2142" s="148">
        <v>0</v>
      </c>
      <c r="F2142" t="s">
        <v>249</v>
      </c>
      <c r="G2142"/>
    </row>
    <row r="2143" spans="1:7" ht="15.75">
      <c r="A2143" t="str">
        <f t="shared" si="33"/>
        <v>SenarclensPACCHAUFF</v>
      </c>
      <c r="B2143" s="148">
        <v>5499</v>
      </c>
      <c r="C2143" s="148" t="s">
        <v>568</v>
      </c>
      <c r="D2143" s="148" t="s">
        <v>69</v>
      </c>
      <c r="E2143" s="148">
        <v>174590.57300504996</v>
      </c>
      <c r="F2143" t="s">
        <v>249</v>
      </c>
      <c r="G2143"/>
    </row>
    <row r="2144" spans="1:7" ht="15.75">
      <c r="A2144" t="str">
        <f t="shared" si="33"/>
        <v>SenarclensSolaireCHAUFF</v>
      </c>
      <c r="B2144" s="148">
        <v>5499</v>
      </c>
      <c r="C2144" s="148" t="s">
        <v>568</v>
      </c>
      <c r="D2144" s="148" t="s">
        <v>240</v>
      </c>
      <c r="E2144" s="148" t="e">
        <v>#N/A</v>
      </c>
      <c r="F2144" t="s">
        <v>249</v>
      </c>
      <c r="G2144"/>
    </row>
    <row r="2145" spans="1:7" ht="15.75">
      <c r="A2145" t="str">
        <f t="shared" si="33"/>
        <v>SergeyBoisCHAUFF</v>
      </c>
      <c r="B2145" s="148">
        <v>5762</v>
      </c>
      <c r="C2145" s="148" t="s">
        <v>569</v>
      </c>
      <c r="D2145" s="148" t="s">
        <v>66</v>
      </c>
      <c r="E2145" s="148">
        <v>302909.86666667002</v>
      </c>
      <c r="F2145" t="s">
        <v>249</v>
      </c>
      <c r="G2145"/>
    </row>
    <row r="2146" spans="1:7" ht="15.75">
      <c r="A2146" t="str">
        <f t="shared" si="33"/>
        <v>SergeyCADCHAUFF</v>
      </c>
      <c r="B2146" s="148">
        <v>5762</v>
      </c>
      <c r="C2146" s="148" t="s">
        <v>569</v>
      </c>
      <c r="D2146" s="148" t="s">
        <v>242</v>
      </c>
      <c r="E2146" s="148">
        <v>24499.200000000001</v>
      </c>
      <c r="F2146" t="s">
        <v>249</v>
      </c>
      <c r="G2146"/>
    </row>
    <row r="2147" spans="1:7" ht="15.75">
      <c r="A2147" t="str">
        <f t="shared" si="33"/>
        <v>SergeyElectricitéCHAUFF</v>
      </c>
      <c r="B2147" s="148">
        <v>5762</v>
      </c>
      <c r="C2147" s="148" t="s">
        <v>569</v>
      </c>
      <c r="D2147" s="148" t="s">
        <v>97</v>
      </c>
      <c r="E2147" s="148">
        <v>127996.55913978</v>
      </c>
      <c r="F2147" t="s">
        <v>249</v>
      </c>
      <c r="G2147"/>
    </row>
    <row r="2148" spans="1:7" ht="15.75">
      <c r="A2148" t="str">
        <f t="shared" si="33"/>
        <v>SergeyGazCHAUFF</v>
      </c>
      <c r="B2148" s="148">
        <v>5762</v>
      </c>
      <c r="C2148" s="148" t="s">
        <v>569</v>
      </c>
      <c r="D2148" s="148" t="s">
        <v>239</v>
      </c>
      <c r="E2148" s="148">
        <v>41564.235294120001</v>
      </c>
      <c r="F2148" t="s">
        <v>249</v>
      </c>
      <c r="G2148"/>
    </row>
    <row r="2149" spans="1:7" ht="15.75">
      <c r="A2149" t="str">
        <f t="shared" si="33"/>
        <v>SergeyMazoutCHAUFF</v>
      </c>
      <c r="B2149" s="148">
        <v>5762</v>
      </c>
      <c r="C2149" s="148" t="s">
        <v>569</v>
      </c>
      <c r="D2149" s="148" t="s">
        <v>70</v>
      </c>
      <c r="E2149" s="148">
        <v>967613.17647059995</v>
      </c>
      <c r="F2149" t="s">
        <v>249</v>
      </c>
      <c r="G2149"/>
    </row>
    <row r="2150" spans="1:7" ht="15.75">
      <c r="A2150" t="str">
        <f t="shared" si="33"/>
        <v>SergeyNon renseignéCHAUFF</v>
      </c>
      <c r="B2150" s="148">
        <v>5762</v>
      </c>
      <c r="C2150" s="148" t="s">
        <v>569</v>
      </c>
      <c r="D2150" s="148" t="s">
        <v>696</v>
      </c>
      <c r="E2150" s="148">
        <v>0</v>
      </c>
      <c r="F2150" t="s">
        <v>249</v>
      </c>
      <c r="G2150"/>
    </row>
    <row r="2151" spans="1:7" ht="15.75">
      <c r="A2151" t="str">
        <f t="shared" si="33"/>
        <v>SergeyPACCHAUFF</v>
      </c>
      <c r="B2151" s="148">
        <v>5762</v>
      </c>
      <c r="C2151" s="148" t="s">
        <v>569</v>
      </c>
      <c r="D2151" s="148" t="s">
        <v>69</v>
      </c>
      <c r="E2151" s="148">
        <v>70469.777777779993</v>
      </c>
      <c r="F2151" t="s">
        <v>249</v>
      </c>
      <c r="G2151"/>
    </row>
    <row r="2152" spans="1:7" ht="15.75">
      <c r="A2152" t="str">
        <f t="shared" si="33"/>
        <v>SergeySolaireCHAUFF</v>
      </c>
      <c r="B2152" s="148">
        <v>5762</v>
      </c>
      <c r="C2152" s="148" t="s">
        <v>569</v>
      </c>
      <c r="D2152" s="148" t="s">
        <v>240</v>
      </c>
      <c r="E2152" s="148" t="e">
        <v>#N/A</v>
      </c>
      <c r="F2152" t="s">
        <v>249</v>
      </c>
      <c r="G2152"/>
    </row>
    <row r="2153" spans="1:7" ht="15.75">
      <c r="A2153" t="str">
        <f t="shared" si="33"/>
        <v>ServionAutre agent énergétiqueCHAUFF</v>
      </c>
      <c r="B2153" s="148">
        <v>5799</v>
      </c>
      <c r="C2153" s="148" t="s">
        <v>570</v>
      </c>
      <c r="D2153" s="148" t="s">
        <v>245</v>
      </c>
      <c r="E2153" s="148">
        <v>20357.647058820003</v>
      </c>
      <c r="F2153" t="s">
        <v>249</v>
      </c>
      <c r="G2153"/>
    </row>
    <row r="2154" spans="1:7" ht="15.75">
      <c r="A2154" t="str">
        <f t="shared" si="33"/>
        <v>ServionBoisCHAUFF</v>
      </c>
      <c r="B2154" s="148">
        <v>5799</v>
      </c>
      <c r="C2154" s="148" t="s">
        <v>570</v>
      </c>
      <c r="D2154" s="148" t="s">
        <v>66</v>
      </c>
      <c r="E2154" s="148">
        <v>1324691.9403921801</v>
      </c>
      <c r="F2154" t="s">
        <v>249</v>
      </c>
      <c r="G2154"/>
    </row>
    <row r="2155" spans="1:7" ht="15.75">
      <c r="A2155" t="str">
        <f t="shared" si="33"/>
        <v>ServionCADCHAUFF</v>
      </c>
      <c r="B2155" s="148">
        <v>5799</v>
      </c>
      <c r="C2155" s="148" t="s">
        <v>570</v>
      </c>
      <c r="D2155" s="148" t="s">
        <v>242</v>
      </c>
      <c r="E2155" s="148">
        <v>8362</v>
      </c>
      <c r="F2155" t="s">
        <v>249</v>
      </c>
      <c r="G2155"/>
    </row>
    <row r="2156" spans="1:7" ht="15.75">
      <c r="A2156" t="str">
        <f t="shared" si="33"/>
        <v>ServionElectricitéCHAUFF</v>
      </c>
      <c r="B2156" s="148">
        <v>5799</v>
      </c>
      <c r="C2156" s="148" t="s">
        <v>570</v>
      </c>
      <c r="D2156" s="148" t="s">
        <v>97</v>
      </c>
      <c r="E2156" s="148">
        <v>2630506.2365591689</v>
      </c>
      <c r="F2156" t="s">
        <v>249</v>
      </c>
      <c r="G2156"/>
    </row>
    <row r="2157" spans="1:7" ht="15.75">
      <c r="A2157" t="str">
        <f t="shared" si="33"/>
        <v>ServionGazCHAUFF</v>
      </c>
      <c r="B2157" s="148">
        <v>5799</v>
      </c>
      <c r="C2157" s="148" t="s">
        <v>570</v>
      </c>
      <c r="D2157" s="148" t="s">
        <v>239</v>
      </c>
      <c r="E2157" s="148">
        <v>1476280.3653250795</v>
      </c>
      <c r="F2157" t="s">
        <v>249</v>
      </c>
      <c r="G2157"/>
    </row>
    <row r="2158" spans="1:7" ht="15.75">
      <c r="A2158" t="str">
        <f t="shared" si="33"/>
        <v>ServionMazoutCHAUFF</v>
      </c>
      <c r="B2158" s="148">
        <v>5799</v>
      </c>
      <c r="C2158" s="148" t="s">
        <v>570</v>
      </c>
      <c r="D2158" s="148" t="s">
        <v>70</v>
      </c>
      <c r="E2158" s="148">
        <v>5807692.8823529342</v>
      </c>
      <c r="F2158" t="s">
        <v>249</v>
      </c>
      <c r="G2158"/>
    </row>
    <row r="2159" spans="1:7" ht="15.75">
      <c r="A2159" t="str">
        <f t="shared" si="33"/>
        <v>ServionNon renseignéCHAUFF</v>
      </c>
      <c r="B2159" s="148">
        <v>5799</v>
      </c>
      <c r="C2159" s="148" t="s">
        <v>570</v>
      </c>
      <c r="D2159" s="148" t="s">
        <v>696</v>
      </c>
      <c r="E2159" s="148">
        <v>0</v>
      </c>
      <c r="F2159" t="s">
        <v>249</v>
      </c>
      <c r="G2159"/>
    </row>
    <row r="2160" spans="1:7" ht="15.75">
      <c r="A2160" t="str">
        <f t="shared" si="33"/>
        <v>ServionPACCHAUFF</v>
      </c>
      <c r="B2160" s="148">
        <v>5799</v>
      </c>
      <c r="C2160" s="148" t="s">
        <v>570</v>
      </c>
      <c r="D2160" s="148" t="s">
        <v>69</v>
      </c>
      <c r="E2160" s="148">
        <v>447724.44697676983</v>
      </c>
      <c r="F2160" t="s">
        <v>249</v>
      </c>
      <c r="G2160"/>
    </row>
    <row r="2161" spans="1:7" ht="15.75">
      <c r="A2161" t="str">
        <f t="shared" si="33"/>
        <v>ServionSolaireCHAUFF</v>
      </c>
      <c r="B2161" s="148">
        <v>5799</v>
      </c>
      <c r="C2161" s="148" t="s">
        <v>570</v>
      </c>
      <c r="D2161" s="148" t="s">
        <v>240</v>
      </c>
      <c r="E2161" s="148">
        <v>37625.599999999999</v>
      </c>
      <c r="F2161" t="s">
        <v>249</v>
      </c>
      <c r="G2161"/>
    </row>
    <row r="2162" spans="1:7" ht="15.75">
      <c r="A2162" t="str">
        <f t="shared" si="33"/>
        <v>SéveryBoisCHAUFF</v>
      </c>
      <c r="B2162" s="148">
        <v>5500</v>
      </c>
      <c r="C2162" s="148" t="s">
        <v>616</v>
      </c>
      <c r="D2162" s="148" t="s">
        <v>66</v>
      </c>
      <c r="E2162" s="148" t="e">
        <v>#N/A</v>
      </c>
      <c r="F2162" t="s">
        <v>249</v>
      </c>
      <c r="G2162"/>
    </row>
    <row r="2163" spans="1:7" ht="15.75">
      <c r="A2163" t="str">
        <f t="shared" si="33"/>
        <v>SéveryElectricitéCHAUFF</v>
      </c>
      <c r="B2163" s="148">
        <v>5500</v>
      </c>
      <c r="C2163" s="148" t="s">
        <v>616</v>
      </c>
      <c r="D2163" s="148" t="s">
        <v>97</v>
      </c>
      <c r="E2163" s="148" t="e">
        <v>#N/A</v>
      </c>
      <c r="F2163" t="s">
        <v>249</v>
      </c>
      <c r="G2163"/>
    </row>
    <row r="2164" spans="1:7" ht="15.75">
      <c r="A2164" t="str">
        <f t="shared" si="33"/>
        <v>SéveryGazCHAUFF</v>
      </c>
      <c r="B2164" s="148">
        <v>5500</v>
      </c>
      <c r="C2164" s="148" t="s">
        <v>616</v>
      </c>
      <c r="D2164" s="148" t="s">
        <v>239</v>
      </c>
      <c r="E2164" s="148" t="e">
        <v>#N/A</v>
      </c>
      <c r="F2164" t="s">
        <v>249</v>
      </c>
      <c r="G2164"/>
    </row>
    <row r="2165" spans="1:7" ht="15.75">
      <c r="A2165" t="str">
        <f t="shared" si="33"/>
        <v>SéveryMazoutCHAUFF</v>
      </c>
      <c r="B2165" s="148">
        <v>5500</v>
      </c>
      <c r="C2165" s="148" t="s">
        <v>616</v>
      </c>
      <c r="D2165" s="148" t="s">
        <v>70</v>
      </c>
      <c r="E2165" s="148" t="e">
        <v>#N/A</v>
      </c>
      <c r="F2165" t="s">
        <v>249</v>
      </c>
      <c r="G2165"/>
    </row>
    <row r="2166" spans="1:7" ht="15.75">
      <c r="A2166" t="str">
        <f t="shared" si="33"/>
        <v>SéveryNon renseignéCHAUFF</v>
      </c>
      <c r="B2166" s="148">
        <v>5500</v>
      </c>
      <c r="C2166" s="148" t="s">
        <v>616</v>
      </c>
      <c r="D2166" s="148" t="s">
        <v>696</v>
      </c>
      <c r="E2166" s="148" t="e">
        <v>#N/A</v>
      </c>
      <c r="F2166" t="s">
        <v>249</v>
      </c>
      <c r="G2166"/>
    </row>
    <row r="2167" spans="1:7" ht="15.75">
      <c r="A2167" t="str">
        <f t="shared" si="33"/>
        <v>SéveryPACCHAUFF</v>
      </c>
      <c r="B2167" s="148">
        <v>5500</v>
      </c>
      <c r="C2167" s="148" t="s">
        <v>616</v>
      </c>
      <c r="D2167" s="148" t="s">
        <v>69</v>
      </c>
      <c r="E2167" s="148" t="e">
        <v>#N/A</v>
      </c>
      <c r="F2167" t="s">
        <v>249</v>
      </c>
      <c r="G2167"/>
    </row>
    <row r="2168" spans="1:7" ht="15.75">
      <c r="A2168" t="str">
        <f t="shared" si="33"/>
        <v>SéverySolaireCHAUFF</v>
      </c>
      <c r="B2168" s="148">
        <v>5500</v>
      </c>
      <c r="C2168" s="148" t="s">
        <v>616</v>
      </c>
      <c r="D2168" s="148" t="s">
        <v>240</v>
      </c>
      <c r="E2168" s="148" t="e">
        <v>#N/A</v>
      </c>
      <c r="F2168" t="s">
        <v>249</v>
      </c>
      <c r="G2168"/>
    </row>
    <row r="2169" spans="1:7" ht="15.75">
      <c r="A2169" t="str">
        <f t="shared" si="33"/>
        <v>Signy-AvenexAutre agent énergétiqueCHAUFF</v>
      </c>
      <c r="B2169" s="148">
        <v>5728</v>
      </c>
      <c r="C2169" s="148" t="s">
        <v>571</v>
      </c>
      <c r="D2169" s="148" t="s">
        <v>245</v>
      </c>
      <c r="E2169" s="148" t="e">
        <v>#N/A</v>
      </c>
      <c r="F2169" t="s">
        <v>249</v>
      </c>
      <c r="G2169"/>
    </row>
    <row r="2170" spans="1:7" ht="15.75">
      <c r="A2170" t="str">
        <f t="shared" si="33"/>
        <v>Signy-AvenexBoisCHAUFF</v>
      </c>
      <c r="B2170" s="148">
        <v>5728</v>
      </c>
      <c r="C2170" s="148" t="s">
        <v>571</v>
      </c>
      <c r="D2170" s="148" t="s">
        <v>66</v>
      </c>
      <c r="E2170" s="148">
        <v>43761.333333330003</v>
      </c>
      <c r="F2170" t="s">
        <v>249</v>
      </c>
      <c r="G2170"/>
    </row>
    <row r="2171" spans="1:7" ht="15.75">
      <c r="A2171" t="str">
        <f t="shared" si="33"/>
        <v>Signy-AvenexElectricitéCHAUFF</v>
      </c>
      <c r="B2171" s="148">
        <v>5728</v>
      </c>
      <c r="C2171" s="148" t="s">
        <v>571</v>
      </c>
      <c r="D2171" s="148" t="s">
        <v>97</v>
      </c>
      <c r="E2171" s="148">
        <v>624095.13978494005</v>
      </c>
      <c r="F2171" t="s">
        <v>249</v>
      </c>
      <c r="G2171"/>
    </row>
    <row r="2172" spans="1:7" ht="15.75">
      <c r="A2172" t="str">
        <f t="shared" si="33"/>
        <v>Signy-AvenexGazCHAUFF</v>
      </c>
      <c r="B2172" s="148">
        <v>5728</v>
      </c>
      <c r="C2172" s="148" t="s">
        <v>571</v>
      </c>
      <c r="D2172" s="148" t="s">
        <v>239</v>
      </c>
      <c r="E2172" s="148">
        <v>2432619.06873065</v>
      </c>
      <c r="F2172" t="s">
        <v>249</v>
      </c>
      <c r="G2172"/>
    </row>
    <row r="2173" spans="1:7" ht="15.75">
      <c r="A2173" t="str">
        <f t="shared" si="33"/>
        <v>Signy-AvenexMazoutCHAUFF</v>
      </c>
      <c r="B2173" s="148">
        <v>5728</v>
      </c>
      <c r="C2173" s="148" t="s">
        <v>571</v>
      </c>
      <c r="D2173" s="148" t="s">
        <v>70</v>
      </c>
      <c r="E2173" s="148">
        <v>2830472.9411764494</v>
      </c>
      <c r="F2173" t="s">
        <v>249</v>
      </c>
      <c r="G2173"/>
    </row>
    <row r="2174" spans="1:7" ht="15.75">
      <c r="A2174" t="str">
        <f t="shared" si="33"/>
        <v>Signy-AvenexNon renseignéCHAUFF</v>
      </c>
      <c r="B2174" s="148">
        <v>5728</v>
      </c>
      <c r="C2174" s="148" t="s">
        <v>571</v>
      </c>
      <c r="D2174" s="148" t="s">
        <v>696</v>
      </c>
      <c r="E2174" s="148">
        <v>0</v>
      </c>
      <c r="F2174" t="s">
        <v>249</v>
      </c>
      <c r="G2174"/>
    </row>
    <row r="2175" spans="1:7" ht="15.75">
      <c r="A2175" t="str">
        <f t="shared" si="33"/>
        <v>Signy-AvenexPACCHAUFF</v>
      </c>
      <c r="B2175" s="148">
        <v>5728</v>
      </c>
      <c r="C2175" s="148" t="s">
        <v>571</v>
      </c>
      <c r="D2175" s="148" t="s">
        <v>69</v>
      </c>
      <c r="E2175" s="148">
        <v>77907.838969410004</v>
      </c>
      <c r="F2175" t="s">
        <v>249</v>
      </c>
      <c r="G2175"/>
    </row>
    <row r="2176" spans="1:7" ht="15.75">
      <c r="A2176" t="str">
        <f t="shared" si="33"/>
        <v>Signy-AvenexCharbonCHAUFF</v>
      </c>
      <c r="B2176" s="148">
        <v>5728</v>
      </c>
      <c r="C2176" s="148" t="s">
        <v>571</v>
      </c>
      <c r="D2176" s="148" t="s">
        <v>695</v>
      </c>
      <c r="E2176" s="148" t="e">
        <v>#N/A</v>
      </c>
      <c r="F2176" t="s">
        <v>249</v>
      </c>
      <c r="G2176"/>
    </row>
    <row r="2177" spans="1:7" ht="15.75">
      <c r="A2177" t="str">
        <f t="shared" si="33"/>
        <v>Signy-AvenexSolaireCHAUFF</v>
      </c>
      <c r="B2177" s="148">
        <v>5728</v>
      </c>
      <c r="C2177" s="148" t="s">
        <v>571</v>
      </c>
      <c r="D2177" s="148" t="s">
        <v>240</v>
      </c>
      <c r="E2177" s="148" t="e">
        <v>#N/A</v>
      </c>
      <c r="F2177" t="s">
        <v>249</v>
      </c>
      <c r="G2177"/>
    </row>
    <row r="2178" spans="1:7" ht="15.75">
      <c r="A2178" t="str">
        <f t="shared" si="33"/>
        <v>SuchyBoisCHAUFF</v>
      </c>
      <c r="B2178" s="148">
        <v>5929</v>
      </c>
      <c r="C2178" s="148" t="s">
        <v>572</v>
      </c>
      <c r="D2178" s="148" t="s">
        <v>66</v>
      </c>
      <c r="E2178" s="148">
        <v>722650.62745098001</v>
      </c>
      <c r="F2178" t="s">
        <v>249</v>
      </c>
      <c r="G2178"/>
    </row>
    <row r="2179" spans="1:7" ht="15.75">
      <c r="A2179" t="str">
        <f t="shared" si="33"/>
        <v>SuchyCADCHAUFF</v>
      </c>
      <c r="B2179" s="148">
        <v>5929</v>
      </c>
      <c r="C2179" s="148" t="s">
        <v>572</v>
      </c>
      <c r="D2179" s="148" t="s">
        <v>242</v>
      </c>
      <c r="E2179" s="148">
        <v>9769.6</v>
      </c>
      <c r="F2179" t="s">
        <v>249</v>
      </c>
      <c r="G2179"/>
    </row>
    <row r="2180" spans="1:7" ht="15.75">
      <c r="A2180" t="str">
        <f t="shared" si="33"/>
        <v>SuchyElectricitéCHAUFF</v>
      </c>
      <c r="B2180" s="148">
        <v>5929</v>
      </c>
      <c r="C2180" s="148" t="s">
        <v>572</v>
      </c>
      <c r="D2180" s="148" t="s">
        <v>97</v>
      </c>
      <c r="E2180" s="148">
        <v>375055.48387096002</v>
      </c>
      <c r="F2180" t="s">
        <v>249</v>
      </c>
      <c r="G2180"/>
    </row>
    <row r="2181" spans="1:7" ht="15.75">
      <c r="A2181" t="str">
        <f t="shared" si="33"/>
        <v>SuchyGazCHAUFF</v>
      </c>
      <c r="B2181" s="148">
        <v>5929</v>
      </c>
      <c r="C2181" s="148" t="s">
        <v>572</v>
      </c>
      <c r="D2181" s="148" t="s">
        <v>239</v>
      </c>
      <c r="E2181" s="148">
        <v>1738025.8352941198</v>
      </c>
      <c r="F2181" t="s">
        <v>249</v>
      </c>
      <c r="G2181"/>
    </row>
    <row r="2182" spans="1:7" ht="15.75">
      <c r="A2182" t="str">
        <f t="shared" si="33"/>
        <v>SuchyMazoutCHAUFF</v>
      </c>
      <c r="B2182" s="148">
        <v>5929</v>
      </c>
      <c r="C2182" s="148" t="s">
        <v>572</v>
      </c>
      <c r="D2182" s="148" t="s">
        <v>70</v>
      </c>
      <c r="E2182" s="148">
        <v>3663304.8306399989</v>
      </c>
      <c r="F2182" t="s">
        <v>249</v>
      </c>
      <c r="G2182"/>
    </row>
    <row r="2183" spans="1:7" ht="15.75">
      <c r="A2183" t="str">
        <f t="shared" si="33"/>
        <v>SuchyNon renseignéCHAUFF</v>
      </c>
      <c r="B2183" s="148">
        <v>5929</v>
      </c>
      <c r="C2183" s="148" t="s">
        <v>572</v>
      </c>
      <c r="D2183" s="148" t="s">
        <v>696</v>
      </c>
      <c r="E2183" s="148">
        <v>0</v>
      </c>
      <c r="F2183" t="s">
        <v>249</v>
      </c>
      <c r="G2183"/>
    </row>
    <row r="2184" spans="1:7" ht="15.75">
      <c r="A2184" t="str">
        <f t="shared" si="33"/>
        <v>SuchyPACCHAUFF</v>
      </c>
      <c r="B2184" s="148">
        <v>5929</v>
      </c>
      <c r="C2184" s="148" t="s">
        <v>572</v>
      </c>
      <c r="D2184" s="148" t="s">
        <v>69</v>
      </c>
      <c r="E2184" s="148">
        <v>309866.4573269001</v>
      </c>
      <c r="F2184" t="s">
        <v>249</v>
      </c>
      <c r="G2184"/>
    </row>
    <row r="2185" spans="1:7" ht="15.75">
      <c r="A2185" t="str">
        <f t="shared" si="33"/>
        <v>SuchySolaireCHAUFF</v>
      </c>
      <c r="B2185" s="148">
        <v>5929</v>
      </c>
      <c r="C2185" s="148" t="s">
        <v>572</v>
      </c>
      <c r="D2185" s="148" t="s">
        <v>240</v>
      </c>
      <c r="E2185" s="148" t="e">
        <v>#N/A</v>
      </c>
      <c r="F2185" t="s">
        <v>249</v>
      </c>
      <c r="G2185"/>
    </row>
    <row r="2186" spans="1:7" ht="15.75">
      <c r="A2186" t="str">
        <f t="shared" si="33"/>
        <v>SullensBoisCHAUFF</v>
      </c>
      <c r="B2186" s="148">
        <v>5501</v>
      </c>
      <c r="C2186" s="148" t="s">
        <v>573</v>
      </c>
      <c r="D2186" s="148" t="s">
        <v>66</v>
      </c>
      <c r="E2186" s="148">
        <v>572232.40784313995</v>
      </c>
      <c r="F2186" t="s">
        <v>249</v>
      </c>
      <c r="G2186"/>
    </row>
    <row r="2187" spans="1:7" ht="15.75">
      <c r="A2187" t="str">
        <f t="shared" ref="A2187:A2250" si="34">_xlfn.CONCAT(C2187,D2187,F2187)</f>
        <v>SullensElectricitéCHAUFF</v>
      </c>
      <c r="B2187" s="148">
        <v>5501</v>
      </c>
      <c r="C2187" s="148" t="s">
        <v>573</v>
      </c>
      <c r="D2187" s="148" t="s">
        <v>97</v>
      </c>
      <c r="E2187" s="148">
        <v>2031710.0000000396</v>
      </c>
      <c r="F2187" t="s">
        <v>249</v>
      </c>
      <c r="G2187"/>
    </row>
    <row r="2188" spans="1:7" ht="15.75">
      <c r="A2188" t="str">
        <f t="shared" si="34"/>
        <v>SullensGazCHAUFF</v>
      </c>
      <c r="B2188" s="148">
        <v>5501</v>
      </c>
      <c r="C2188" s="148" t="s">
        <v>573</v>
      </c>
      <c r="D2188" s="148" t="s">
        <v>239</v>
      </c>
      <c r="E2188" s="148">
        <v>3803507.7585138697</v>
      </c>
      <c r="F2188" t="s">
        <v>249</v>
      </c>
      <c r="G2188"/>
    </row>
    <row r="2189" spans="1:7" ht="15.75">
      <c r="A2189" t="str">
        <f t="shared" si="34"/>
        <v>SullensMazoutCHAUFF</v>
      </c>
      <c r="B2189" s="148">
        <v>5501</v>
      </c>
      <c r="C2189" s="148" t="s">
        <v>573</v>
      </c>
      <c r="D2189" s="148" t="s">
        <v>70</v>
      </c>
      <c r="E2189" s="148">
        <v>3668562.1176471002</v>
      </c>
      <c r="F2189" t="s">
        <v>249</v>
      </c>
      <c r="G2189"/>
    </row>
    <row r="2190" spans="1:7" ht="15.75">
      <c r="A2190" t="str">
        <f t="shared" si="34"/>
        <v>SullensNon renseignéCHAUFF</v>
      </c>
      <c r="B2190" s="148">
        <v>5501</v>
      </c>
      <c r="C2190" s="148" t="s">
        <v>573</v>
      </c>
      <c r="D2190" s="148" t="s">
        <v>696</v>
      </c>
      <c r="E2190" s="148">
        <v>0</v>
      </c>
      <c r="F2190" t="s">
        <v>249</v>
      </c>
      <c r="G2190"/>
    </row>
    <row r="2191" spans="1:7" ht="15.75">
      <c r="A2191" t="str">
        <f t="shared" si="34"/>
        <v>SullensPACCHAUFF</v>
      </c>
      <c r="B2191" s="148">
        <v>5501</v>
      </c>
      <c r="C2191" s="148" t="s">
        <v>573</v>
      </c>
      <c r="D2191" s="148" t="s">
        <v>69</v>
      </c>
      <c r="E2191" s="148">
        <v>184402.34289126005</v>
      </c>
      <c r="F2191" t="s">
        <v>249</v>
      </c>
      <c r="G2191"/>
    </row>
    <row r="2192" spans="1:7" ht="15.75">
      <c r="A2192" t="str">
        <f t="shared" si="34"/>
        <v>SullensSolaireCHAUFF</v>
      </c>
      <c r="B2192" s="148">
        <v>5501</v>
      </c>
      <c r="C2192" s="148" t="s">
        <v>573</v>
      </c>
      <c r="D2192" s="148" t="s">
        <v>240</v>
      </c>
      <c r="E2192" s="148" t="e">
        <v>#N/A</v>
      </c>
      <c r="F2192" t="s">
        <v>249</v>
      </c>
      <c r="G2192"/>
    </row>
    <row r="2193" spans="1:7" ht="15.75">
      <c r="A2193" t="str">
        <f t="shared" si="34"/>
        <v>SuscévazBoisCHAUFF</v>
      </c>
      <c r="B2193" s="148">
        <v>5930</v>
      </c>
      <c r="C2193" s="148" t="s">
        <v>615</v>
      </c>
      <c r="D2193" s="148" t="s">
        <v>66</v>
      </c>
      <c r="E2193" s="148">
        <v>300408.44941175001</v>
      </c>
      <c r="F2193" t="s">
        <v>249</v>
      </c>
      <c r="G2193"/>
    </row>
    <row r="2194" spans="1:7" ht="15.75">
      <c r="A2194" t="str">
        <f t="shared" si="34"/>
        <v>SuscévazElectricitéCHAUFF</v>
      </c>
      <c r="B2194" s="148">
        <v>5930</v>
      </c>
      <c r="C2194" s="148" t="s">
        <v>615</v>
      </c>
      <c r="D2194" s="148" t="s">
        <v>97</v>
      </c>
      <c r="E2194" s="148">
        <v>859320</v>
      </c>
      <c r="F2194" t="s">
        <v>249</v>
      </c>
      <c r="G2194"/>
    </row>
    <row r="2195" spans="1:7" ht="15.75">
      <c r="A2195" t="str">
        <f t="shared" si="34"/>
        <v>SuscévazGazCHAUFF</v>
      </c>
      <c r="B2195" s="148">
        <v>5930</v>
      </c>
      <c r="C2195" s="148" t="s">
        <v>615</v>
      </c>
      <c r="D2195" s="148" t="s">
        <v>239</v>
      </c>
      <c r="E2195" s="148">
        <v>73923.784520129993</v>
      </c>
      <c r="F2195" t="s">
        <v>249</v>
      </c>
      <c r="G2195"/>
    </row>
    <row r="2196" spans="1:7" ht="15.75">
      <c r="A2196" t="str">
        <f t="shared" si="34"/>
        <v>SuscévazMazoutCHAUFF</v>
      </c>
      <c r="B2196" s="148">
        <v>5930</v>
      </c>
      <c r="C2196" s="148" t="s">
        <v>615</v>
      </c>
      <c r="D2196" s="148" t="s">
        <v>70</v>
      </c>
      <c r="E2196" s="148">
        <v>1319354.6094876498</v>
      </c>
      <c r="F2196" t="s">
        <v>249</v>
      </c>
      <c r="G2196"/>
    </row>
    <row r="2197" spans="1:7" ht="15.75">
      <c r="A2197" t="str">
        <f t="shared" si="34"/>
        <v>SuscévazNon renseignéCHAUFF</v>
      </c>
      <c r="B2197" s="148">
        <v>5930</v>
      </c>
      <c r="C2197" s="148" t="s">
        <v>615</v>
      </c>
      <c r="D2197" s="148" t="s">
        <v>696</v>
      </c>
      <c r="E2197" s="148">
        <v>0</v>
      </c>
      <c r="F2197" t="s">
        <v>249</v>
      </c>
      <c r="G2197"/>
    </row>
    <row r="2198" spans="1:7" ht="15.75">
      <c r="A2198" t="str">
        <f t="shared" si="34"/>
        <v>SuscévazPACCHAUFF</v>
      </c>
      <c r="B2198" s="148">
        <v>5930</v>
      </c>
      <c r="C2198" s="148" t="s">
        <v>615</v>
      </c>
      <c r="D2198" s="148" t="s">
        <v>69</v>
      </c>
      <c r="E2198" s="148">
        <v>113457.55555555</v>
      </c>
      <c r="F2198" t="s">
        <v>249</v>
      </c>
      <c r="G2198"/>
    </row>
    <row r="2199" spans="1:7" ht="15.75">
      <c r="A2199" t="str">
        <f t="shared" si="34"/>
        <v>SuscévazSolaireCHAUFF</v>
      </c>
      <c r="B2199" s="148">
        <v>5930</v>
      </c>
      <c r="C2199" s="148" t="s">
        <v>615</v>
      </c>
      <c r="D2199" s="148" t="s">
        <v>240</v>
      </c>
      <c r="E2199" s="148" t="e">
        <v>#N/A</v>
      </c>
      <c r="F2199" t="s">
        <v>249</v>
      </c>
      <c r="G2199"/>
    </row>
    <row r="2200" spans="1:7" ht="15.75">
      <c r="A2200" t="str">
        <f t="shared" si="34"/>
        <v>SyensBoisCHAUFF</v>
      </c>
      <c r="B2200" s="148">
        <v>5688</v>
      </c>
      <c r="C2200" s="148" t="s">
        <v>574</v>
      </c>
      <c r="D2200" s="148" t="s">
        <v>66</v>
      </c>
      <c r="E2200" s="148">
        <v>889967.72549018997</v>
      </c>
      <c r="F2200" t="s">
        <v>249</v>
      </c>
      <c r="G2200"/>
    </row>
    <row r="2201" spans="1:7" ht="15.75">
      <c r="A2201" t="str">
        <f t="shared" si="34"/>
        <v>SyensElectricitéCHAUFF</v>
      </c>
      <c r="B2201" s="148">
        <v>5688</v>
      </c>
      <c r="C2201" s="148" t="s">
        <v>574</v>
      </c>
      <c r="D2201" s="148" t="s">
        <v>97</v>
      </c>
      <c r="E2201" s="148">
        <v>152443.87096774002</v>
      </c>
      <c r="F2201" t="s">
        <v>249</v>
      </c>
      <c r="G2201"/>
    </row>
    <row r="2202" spans="1:7" ht="15.75">
      <c r="A2202" t="str">
        <f t="shared" si="34"/>
        <v>SyensGazCHAUFF</v>
      </c>
      <c r="B2202" s="148">
        <v>5688</v>
      </c>
      <c r="C2202" s="148" t="s">
        <v>574</v>
      </c>
      <c r="D2202" s="148" t="s">
        <v>239</v>
      </c>
      <c r="E2202" s="148">
        <v>540879.94117646001</v>
      </c>
      <c r="F2202" t="s">
        <v>249</v>
      </c>
      <c r="G2202"/>
    </row>
    <row r="2203" spans="1:7" ht="15.75">
      <c r="A2203" t="str">
        <f t="shared" si="34"/>
        <v>SyensMazoutCHAUFF</v>
      </c>
      <c r="B2203" s="148">
        <v>5688</v>
      </c>
      <c r="C2203" s="148" t="s">
        <v>574</v>
      </c>
      <c r="D2203" s="148" t="s">
        <v>70</v>
      </c>
      <c r="E2203" s="148">
        <v>1425800.9411764699</v>
      </c>
      <c r="F2203" t="s">
        <v>249</v>
      </c>
      <c r="G2203"/>
    </row>
    <row r="2204" spans="1:7" ht="15.75">
      <c r="A2204" t="str">
        <f t="shared" si="34"/>
        <v>SyensNon renseignéCHAUFF</v>
      </c>
      <c r="B2204" s="148">
        <v>5688</v>
      </c>
      <c r="C2204" s="148" t="s">
        <v>574</v>
      </c>
      <c r="D2204" s="148" t="s">
        <v>696</v>
      </c>
      <c r="E2204" s="148">
        <v>0</v>
      </c>
      <c r="F2204" t="s">
        <v>249</v>
      </c>
      <c r="G2204"/>
    </row>
    <row r="2205" spans="1:7" ht="15.75">
      <c r="A2205" t="str">
        <f t="shared" si="34"/>
        <v>SyensPACCHAUFF</v>
      </c>
      <c r="B2205" s="148">
        <v>5688</v>
      </c>
      <c r="C2205" s="148" t="s">
        <v>574</v>
      </c>
      <c r="D2205" s="148" t="s">
        <v>69</v>
      </c>
      <c r="E2205" s="148">
        <v>57770.62579821</v>
      </c>
      <c r="F2205" t="s">
        <v>249</v>
      </c>
      <c r="G2205"/>
    </row>
    <row r="2206" spans="1:7" ht="15.75">
      <c r="A2206" t="str">
        <f t="shared" si="34"/>
        <v>SyensSolaireCHAUFF</v>
      </c>
      <c r="B2206" s="148">
        <v>5688</v>
      </c>
      <c r="C2206" s="148" t="s">
        <v>574</v>
      </c>
      <c r="D2206" s="148" t="s">
        <v>240</v>
      </c>
      <c r="E2206" s="148" t="e">
        <v>#N/A</v>
      </c>
      <c r="F2206" t="s">
        <v>249</v>
      </c>
    </row>
    <row r="2207" spans="1:7" ht="15.75">
      <c r="A2207" t="str">
        <f t="shared" si="34"/>
        <v>TannayBoisCHAUFF</v>
      </c>
      <c r="B2207" s="148">
        <v>5729</v>
      </c>
      <c r="C2207" s="148" t="s">
        <v>575</v>
      </c>
      <c r="D2207" s="148" t="s">
        <v>66</v>
      </c>
      <c r="E2207" s="148">
        <v>398308.02196078002</v>
      </c>
      <c r="F2207" t="s">
        <v>249</v>
      </c>
    </row>
    <row r="2208" spans="1:7" ht="15.75">
      <c r="A2208" t="str">
        <f t="shared" si="34"/>
        <v>TannayElectricitéCHAUFF</v>
      </c>
      <c r="B2208" s="148">
        <v>5729</v>
      </c>
      <c r="C2208" s="148" t="s">
        <v>575</v>
      </c>
      <c r="D2208" s="148" t="s">
        <v>97</v>
      </c>
      <c r="E2208" s="148">
        <v>4714389.892473069</v>
      </c>
      <c r="F2208" t="s">
        <v>249</v>
      </c>
    </row>
    <row r="2209" spans="1:6" ht="15.75">
      <c r="A2209" t="str">
        <f t="shared" si="34"/>
        <v>TannayGazCHAUFF</v>
      </c>
      <c r="B2209" s="148">
        <v>5729</v>
      </c>
      <c r="C2209" s="148" t="s">
        <v>575</v>
      </c>
      <c r="D2209" s="148" t="s">
        <v>239</v>
      </c>
      <c r="E2209" s="148">
        <v>184838.43962849001</v>
      </c>
      <c r="F2209" t="s">
        <v>249</v>
      </c>
    </row>
    <row r="2210" spans="1:6" ht="15.75">
      <c r="A2210" t="str">
        <f t="shared" si="34"/>
        <v>TannayMazoutCHAUFF</v>
      </c>
      <c r="B2210" s="148">
        <v>5729</v>
      </c>
      <c r="C2210" s="148" t="s">
        <v>575</v>
      </c>
      <c r="D2210" s="148" t="s">
        <v>70</v>
      </c>
      <c r="E2210" s="148">
        <v>8397717.8823529817</v>
      </c>
      <c r="F2210" t="s">
        <v>249</v>
      </c>
    </row>
    <row r="2211" spans="1:6" ht="15.75">
      <c r="A2211" t="str">
        <f t="shared" si="34"/>
        <v>TannayNon renseignéCHAUFF</v>
      </c>
      <c r="B2211" s="148">
        <v>5729</v>
      </c>
      <c r="C2211" s="148" t="s">
        <v>575</v>
      </c>
      <c r="D2211" s="148" t="s">
        <v>696</v>
      </c>
      <c r="E2211" s="148">
        <v>0</v>
      </c>
      <c r="F2211" t="s">
        <v>249</v>
      </c>
    </row>
    <row r="2212" spans="1:6" ht="15.75">
      <c r="A2212" t="str">
        <f t="shared" si="34"/>
        <v>TannayPACCHAUFF</v>
      </c>
      <c r="B2212" s="148">
        <v>5729</v>
      </c>
      <c r="C2212" s="148" t="s">
        <v>575</v>
      </c>
      <c r="D2212" s="148" t="s">
        <v>69</v>
      </c>
      <c r="E2212" s="148">
        <v>1018465.5042792399</v>
      </c>
      <c r="F2212" t="s">
        <v>249</v>
      </c>
    </row>
    <row r="2213" spans="1:6" ht="15.75">
      <c r="A2213" t="str">
        <f t="shared" si="34"/>
        <v>TannaySolaireCHAUFF</v>
      </c>
      <c r="B2213" s="148">
        <v>5729</v>
      </c>
      <c r="C2213" s="148" t="s">
        <v>575</v>
      </c>
      <c r="D2213" s="148" t="s">
        <v>240</v>
      </c>
      <c r="E2213" s="148" t="e">
        <v>#N/A</v>
      </c>
      <c r="F2213" t="s">
        <v>249</v>
      </c>
    </row>
    <row r="2214" spans="1:6" ht="15.75">
      <c r="A2214" t="str">
        <f t="shared" si="34"/>
        <v>TartegninBoisCHAUFF</v>
      </c>
      <c r="B2214" s="148">
        <v>5862</v>
      </c>
      <c r="C2214" s="148" t="s">
        <v>576</v>
      </c>
      <c r="D2214" s="148" t="s">
        <v>66</v>
      </c>
      <c r="E2214" s="148">
        <v>215968.8</v>
      </c>
      <c r="F2214" t="s">
        <v>249</v>
      </c>
    </row>
    <row r="2215" spans="1:6" ht="15.75">
      <c r="A2215" t="str">
        <f t="shared" si="34"/>
        <v>TartegninCADCHAUFF</v>
      </c>
      <c r="B2215" s="148">
        <v>5862</v>
      </c>
      <c r="C2215" s="148" t="s">
        <v>576</v>
      </c>
      <c r="D2215" s="148" t="s">
        <v>242</v>
      </c>
      <c r="E2215" s="148">
        <v>61617.2</v>
      </c>
      <c r="F2215" t="s">
        <v>249</v>
      </c>
    </row>
    <row r="2216" spans="1:6" ht="15.75">
      <c r="A2216" t="str">
        <f t="shared" si="34"/>
        <v>TartegninElectricitéCHAUFF</v>
      </c>
      <c r="B2216" s="148">
        <v>5862</v>
      </c>
      <c r="C2216" s="148" t="s">
        <v>576</v>
      </c>
      <c r="D2216" s="148" t="s">
        <v>97</v>
      </c>
      <c r="E2216" s="148">
        <v>202755.26881719998</v>
      </c>
      <c r="F2216" t="s">
        <v>249</v>
      </c>
    </row>
    <row r="2217" spans="1:6" ht="15.75">
      <c r="A2217" t="str">
        <f t="shared" si="34"/>
        <v>TartegninGazCHAUFF</v>
      </c>
      <c r="B2217" s="148">
        <v>5862</v>
      </c>
      <c r="C2217" s="148" t="s">
        <v>576</v>
      </c>
      <c r="D2217" s="148" t="s">
        <v>239</v>
      </c>
      <c r="E2217" s="148">
        <v>1959445.4117646997</v>
      </c>
      <c r="F2217" t="s">
        <v>249</v>
      </c>
    </row>
    <row r="2218" spans="1:6" ht="15.75">
      <c r="A2218" t="str">
        <f t="shared" si="34"/>
        <v>TartegninMazoutCHAUFF</v>
      </c>
      <c r="B2218" s="148">
        <v>5862</v>
      </c>
      <c r="C2218" s="148" t="s">
        <v>576</v>
      </c>
      <c r="D2218" s="148" t="s">
        <v>70</v>
      </c>
      <c r="E2218" s="148">
        <v>535618.58823528991</v>
      </c>
      <c r="F2218" t="s">
        <v>249</v>
      </c>
    </row>
    <row r="2219" spans="1:6" ht="15.75">
      <c r="A2219" t="str">
        <f t="shared" si="34"/>
        <v>TartegninPACCHAUFF</v>
      </c>
      <c r="B2219" s="148">
        <v>5862</v>
      </c>
      <c r="C2219" s="148" t="s">
        <v>576</v>
      </c>
      <c r="D2219" s="148" t="s">
        <v>69</v>
      </c>
      <c r="E2219" s="148">
        <v>12013.703703700001</v>
      </c>
      <c r="F2219" t="s">
        <v>249</v>
      </c>
    </row>
    <row r="2220" spans="1:6" ht="15.75">
      <c r="A2220" t="str">
        <f t="shared" si="34"/>
        <v>TartegninSolaireCHAUFF</v>
      </c>
      <c r="B2220" s="148">
        <v>5862</v>
      </c>
      <c r="C2220" s="148" t="s">
        <v>576</v>
      </c>
      <c r="D2220" s="148" t="s">
        <v>240</v>
      </c>
      <c r="E2220" s="148" t="e">
        <v>#N/A</v>
      </c>
      <c r="F2220" t="s">
        <v>249</v>
      </c>
    </row>
    <row r="2221" spans="1:6" ht="15.75">
      <c r="A2221" t="str">
        <f t="shared" si="34"/>
        <v>TévenonAutre agent énergétiqueCHAUFF</v>
      </c>
      <c r="B2221" s="148">
        <v>5571</v>
      </c>
      <c r="C2221" s="148" t="s">
        <v>614</v>
      </c>
      <c r="D2221" s="148" t="s">
        <v>245</v>
      </c>
      <c r="E2221" s="148">
        <v>41336.470588240001</v>
      </c>
      <c r="F2221" t="s">
        <v>249</v>
      </c>
    </row>
    <row r="2222" spans="1:6" ht="15.75">
      <c r="A2222" t="str">
        <f t="shared" si="34"/>
        <v>TévenonBoisCHAUFF</v>
      </c>
      <c r="B2222" s="148">
        <v>5571</v>
      </c>
      <c r="C2222" s="148" t="s">
        <v>614</v>
      </c>
      <c r="D2222" s="148" t="s">
        <v>66</v>
      </c>
      <c r="E2222" s="148">
        <v>3295973.4901961111</v>
      </c>
      <c r="F2222" t="s">
        <v>249</v>
      </c>
    </row>
    <row r="2223" spans="1:6" ht="15.75">
      <c r="A2223" t="str">
        <f t="shared" si="34"/>
        <v>TévenonElectricitéCHAUFF</v>
      </c>
      <c r="B2223" s="148">
        <v>5571</v>
      </c>
      <c r="C2223" s="148" t="s">
        <v>614</v>
      </c>
      <c r="D2223" s="148" t="s">
        <v>97</v>
      </c>
      <c r="E2223" s="148">
        <v>1870221.9354838897</v>
      </c>
      <c r="F2223" t="s">
        <v>249</v>
      </c>
    </row>
    <row r="2224" spans="1:6" ht="15.75">
      <c r="A2224" t="str">
        <f t="shared" si="34"/>
        <v>TévenonGazCHAUFF</v>
      </c>
      <c r="B2224" s="148">
        <v>5571</v>
      </c>
      <c r="C2224" s="148" t="s">
        <v>614</v>
      </c>
      <c r="D2224" s="148" t="s">
        <v>239</v>
      </c>
      <c r="E2224" s="148">
        <v>47967.133126929999</v>
      </c>
      <c r="F2224" t="s">
        <v>249</v>
      </c>
    </row>
    <row r="2225" spans="1:6" ht="15.75">
      <c r="A2225" t="str">
        <f t="shared" si="34"/>
        <v>TévenonMazoutCHAUFF</v>
      </c>
      <c r="B2225" s="148">
        <v>5571</v>
      </c>
      <c r="C2225" s="148" t="s">
        <v>614</v>
      </c>
      <c r="D2225" s="148" t="s">
        <v>70</v>
      </c>
      <c r="E2225" s="148">
        <v>4181029.0588235087</v>
      </c>
      <c r="F2225" t="s">
        <v>249</v>
      </c>
    </row>
    <row r="2226" spans="1:6" ht="15.75">
      <c r="A2226" t="str">
        <f t="shared" si="34"/>
        <v>TévenonNon renseignéCHAUFF</v>
      </c>
      <c r="B2226" s="148">
        <v>5571</v>
      </c>
      <c r="C2226" s="148" t="s">
        <v>614</v>
      </c>
      <c r="D2226" s="148" t="s">
        <v>696</v>
      </c>
      <c r="E2226" s="148">
        <v>0</v>
      </c>
      <c r="F2226" t="s">
        <v>249</v>
      </c>
    </row>
    <row r="2227" spans="1:6" ht="15.75">
      <c r="A2227" t="str">
        <f t="shared" si="34"/>
        <v>TévenonPACCHAUFF</v>
      </c>
      <c r="B2227" s="148">
        <v>5571</v>
      </c>
      <c r="C2227" s="148" t="s">
        <v>614</v>
      </c>
      <c r="D2227" s="148" t="s">
        <v>69</v>
      </c>
      <c r="E2227" s="148">
        <v>618668.53115164989</v>
      </c>
      <c r="F2227" t="s">
        <v>249</v>
      </c>
    </row>
    <row r="2228" spans="1:6" ht="15.75">
      <c r="A2228" t="str">
        <f t="shared" si="34"/>
        <v>TévenonSolaireCHAUFF</v>
      </c>
      <c r="B2228" s="148">
        <v>5571</v>
      </c>
      <c r="C2228" s="148" t="s">
        <v>614</v>
      </c>
      <c r="D2228" s="148" t="s">
        <v>240</v>
      </c>
      <c r="E2228" s="148">
        <v>65170</v>
      </c>
      <c r="F2228" t="s">
        <v>249</v>
      </c>
    </row>
    <row r="2229" spans="1:6" ht="15.75">
      <c r="A2229" t="str">
        <f t="shared" si="34"/>
        <v>TolochenazBoisCHAUFF</v>
      </c>
      <c r="B2229" s="148">
        <v>5649</v>
      </c>
      <c r="C2229" s="148" t="s">
        <v>577</v>
      </c>
      <c r="D2229" s="148" t="s">
        <v>66</v>
      </c>
      <c r="E2229" s="148">
        <v>637493.06666667003</v>
      </c>
      <c r="F2229" t="s">
        <v>249</v>
      </c>
    </row>
    <row r="2230" spans="1:6" ht="15.75">
      <c r="A2230" t="str">
        <f t="shared" si="34"/>
        <v>TolochenazElectricitéCHAUFF</v>
      </c>
      <c r="B2230" s="148">
        <v>5649</v>
      </c>
      <c r="C2230" s="148" t="s">
        <v>577</v>
      </c>
      <c r="D2230" s="148" t="s">
        <v>97</v>
      </c>
      <c r="E2230" s="148">
        <v>4392145.3763441499</v>
      </c>
      <c r="F2230" t="s">
        <v>249</v>
      </c>
    </row>
    <row r="2231" spans="1:6" ht="15.75">
      <c r="A2231" t="str">
        <f t="shared" si="34"/>
        <v>TolochenazGazCHAUFF</v>
      </c>
      <c r="B2231" s="148">
        <v>5649</v>
      </c>
      <c r="C2231" s="148" t="s">
        <v>577</v>
      </c>
      <c r="D2231" s="148" t="s">
        <v>239</v>
      </c>
      <c r="E2231" s="148">
        <v>3281506.1852081791</v>
      </c>
      <c r="F2231" t="s">
        <v>249</v>
      </c>
    </row>
    <row r="2232" spans="1:6" ht="15.75">
      <c r="A2232" t="str">
        <f t="shared" si="34"/>
        <v>TolochenazMazoutCHAUFF</v>
      </c>
      <c r="B2232" s="148">
        <v>5649</v>
      </c>
      <c r="C2232" s="148" t="s">
        <v>577</v>
      </c>
      <c r="D2232" s="148" t="s">
        <v>70</v>
      </c>
      <c r="E2232" s="148">
        <v>8441231.6235293709</v>
      </c>
      <c r="F2232" t="s">
        <v>249</v>
      </c>
    </row>
    <row r="2233" spans="1:6" ht="15.75">
      <c r="A2233" t="str">
        <f t="shared" si="34"/>
        <v>TolochenazNon renseignéCHAUFF</v>
      </c>
      <c r="B2233" s="148">
        <v>5649</v>
      </c>
      <c r="C2233" s="148" t="s">
        <v>577</v>
      </c>
      <c r="D2233" s="148" t="s">
        <v>696</v>
      </c>
      <c r="E2233" s="148">
        <v>0</v>
      </c>
      <c r="F2233" t="s">
        <v>249</v>
      </c>
    </row>
    <row r="2234" spans="1:6" ht="15.75">
      <c r="A2234" t="str">
        <f t="shared" si="34"/>
        <v>TolochenazPACCHAUFF</v>
      </c>
      <c r="B2234" s="148">
        <v>5649</v>
      </c>
      <c r="C2234" s="148" t="s">
        <v>577</v>
      </c>
      <c r="D2234" s="148" t="s">
        <v>69</v>
      </c>
      <c r="E2234" s="148">
        <v>269375.92025088996</v>
      </c>
      <c r="F2234" t="s">
        <v>249</v>
      </c>
    </row>
    <row r="2235" spans="1:6" ht="15.75">
      <c r="A2235" t="str">
        <f t="shared" si="34"/>
        <v>TolochenazSolaireCHAUFF</v>
      </c>
      <c r="B2235" s="148">
        <v>5649</v>
      </c>
      <c r="C2235" s="148" t="s">
        <v>577</v>
      </c>
      <c r="D2235" s="148" t="s">
        <v>240</v>
      </c>
      <c r="E2235" s="148">
        <v>12264</v>
      </c>
      <c r="F2235" t="s">
        <v>249</v>
      </c>
    </row>
    <row r="2236" spans="1:6" ht="15.75">
      <c r="A2236" t="str">
        <f t="shared" si="34"/>
        <v>TrélexAutre agent énergétiqueCHAUFF</v>
      </c>
      <c r="B2236" s="148">
        <v>5730</v>
      </c>
      <c r="C2236" s="148" t="s">
        <v>613</v>
      </c>
      <c r="D2236" s="148" t="s">
        <v>245</v>
      </c>
      <c r="E2236" s="148">
        <v>5849.4117647100002</v>
      </c>
      <c r="F2236" t="s">
        <v>249</v>
      </c>
    </row>
    <row r="2237" spans="1:6" ht="15.75">
      <c r="A2237" t="str">
        <f t="shared" si="34"/>
        <v>TrélexBoisCHAUFF</v>
      </c>
      <c r="B2237" s="148">
        <v>5730</v>
      </c>
      <c r="C2237" s="148" t="s">
        <v>613</v>
      </c>
      <c r="D2237" s="148" t="s">
        <v>66</v>
      </c>
      <c r="E2237" s="148">
        <v>1128706.4941176299</v>
      </c>
      <c r="F2237" t="s">
        <v>249</v>
      </c>
    </row>
    <row r="2238" spans="1:6" ht="15.75">
      <c r="A2238" t="str">
        <f t="shared" si="34"/>
        <v>TrélexCADCHAUFF</v>
      </c>
      <c r="B2238" s="148">
        <v>5730</v>
      </c>
      <c r="C2238" s="148" t="s">
        <v>613</v>
      </c>
      <c r="D2238" s="148" t="s">
        <v>242</v>
      </c>
      <c r="E2238" s="148">
        <v>575279.80000000005</v>
      </c>
      <c r="F2238" t="s">
        <v>249</v>
      </c>
    </row>
    <row r="2239" spans="1:6" ht="15.75">
      <c r="A2239" t="str">
        <f t="shared" si="34"/>
        <v>TrélexElectricitéCHAUFF</v>
      </c>
      <c r="B2239" s="148">
        <v>5730</v>
      </c>
      <c r="C2239" s="148" t="s">
        <v>613</v>
      </c>
      <c r="D2239" s="148" t="s">
        <v>97</v>
      </c>
      <c r="E2239" s="148">
        <v>3509265.1612903494</v>
      </c>
      <c r="F2239" t="s">
        <v>249</v>
      </c>
    </row>
    <row r="2240" spans="1:6" ht="15.75">
      <c r="A2240" t="str">
        <f t="shared" si="34"/>
        <v>TrélexGazCHAUFF</v>
      </c>
      <c r="B2240" s="148">
        <v>5730</v>
      </c>
      <c r="C2240" s="148" t="s">
        <v>613</v>
      </c>
      <c r="D2240" s="148" t="s">
        <v>239</v>
      </c>
      <c r="E2240" s="148">
        <v>152707.41795666001</v>
      </c>
      <c r="F2240" t="s">
        <v>249</v>
      </c>
    </row>
    <row r="2241" spans="1:6" ht="15.75">
      <c r="A2241" t="str">
        <f t="shared" si="34"/>
        <v>TrélexMazoutCHAUFF</v>
      </c>
      <c r="B2241" s="148">
        <v>5730</v>
      </c>
      <c r="C2241" s="148" t="s">
        <v>613</v>
      </c>
      <c r="D2241" s="148" t="s">
        <v>70</v>
      </c>
      <c r="E2241" s="148">
        <v>8286665.4379084967</v>
      </c>
      <c r="F2241" t="s">
        <v>249</v>
      </c>
    </row>
    <row r="2242" spans="1:6" ht="15.75">
      <c r="A2242" t="str">
        <f t="shared" si="34"/>
        <v>TrélexNon renseignéCHAUFF</v>
      </c>
      <c r="B2242" s="148">
        <v>5730</v>
      </c>
      <c r="C2242" s="148" t="s">
        <v>613</v>
      </c>
      <c r="D2242" s="148" t="s">
        <v>696</v>
      </c>
      <c r="E2242" s="148">
        <v>0</v>
      </c>
      <c r="F2242" t="s">
        <v>249</v>
      </c>
    </row>
    <row r="2243" spans="1:6" ht="15.75">
      <c r="A2243" t="str">
        <f t="shared" si="34"/>
        <v>TrélexPACCHAUFF</v>
      </c>
      <c r="B2243" s="148">
        <v>5730</v>
      </c>
      <c r="C2243" s="148" t="s">
        <v>613</v>
      </c>
      <c r="D2243" s="148" t="s">
        <v>69</v>
      </c>
      <c r="E2243" s="148">
        <v>637427.5207901001</v>
      </c>
      <c r="F2243" t="s">
        <v>249</v>
      </c>
    </row>
    <row r="2244" spans="1:6" ht="15.75">
      <c r="A2244" t="str">
        <f t="shared" si="34"/>
        <v>TrélexSolaireCHAUFF</v>
      </c>
      <c r="B2244" s="148">
        <v>5730</v>
      </c>
      <c r="C2244" s="148" t="s">
        <v>613</v>
      </c>
      <c r="D2244" s="148" t="s">
        <v>240</v>
      </c>
      <c r="E2244" s="148">
        <v>26224</v>
      </c>
      <c r="F2244" t="s">
        <v>249</v>
      </c>
    </row>
    <row r="2245" spans="1:6" ht="15.75">
      <c r="A2245" t="str">
        <f t="shared" si="34"/>
        <v>TrélexCharbonCHAUFF</v>
      </c>
      <c r="B2245" s="148">
        <v>5730</v>
      </c>
      <c r="C2245" s="148" t="s">
        <v>613</v>
      </c>
      <c r="D2245" s="148" t="s">
        <v>695</v>
      </c>
      <c r="E2245" s="148" t="e">
        <v>#N/A</v>
      </c>
      <c r="F2245" t="s">
        <v>249</v>
      </c>
    </row>
    <row r="2246" spans="1:6" ht="15.75">
      <c r="A2246" t="str">
        <f t="shared" si="34"/>
        <v>TreyBoisCHAUFF</v>
      </c>
      <c r="B2246" s="148">
        <v>5827</v>
      </c>
      <c r="C2246" s="148" t="s">
        <v>578</v>
      </c>
      <c r="D2246" s="148" t="s">
        <v>66</v>
      </c>
      <c r="E2246" s="148">
        <v>1107317.33333331</v>
      </c>
      <c r="F2246" t="s">
        <v>249</v>
      </c>
    </row>
    <row r="2247" spans="1:6" ht="15.75">
      <c r="A2247" t="str">
        <f t="shared" si="34"/>
        <v>TreyCADCHAUFF</v>
      </c>
      <c r="B2247" s="148">
        <v>5827</v>
      </c>
      <c r="C2247" s="148" t="s">
        <v>578</v>
      </c>
      <c r="D2247" s="148" t="s">
        <v>242</v>
      </c>
      <c r="E2247" s="148">
        <v>4840</v>
      </c>
      <c r="F2247" t="s">
        <v>249</v>
      </c>
    </row>
    <row r="2248" spans="1:6" ht="15.75">
      <c r="A2248" t="str">
        <f t="shared" si="34"/>
        <v>TreyElectricitéCHAUFF</v>
      </c>
      <c r="B2248" s="148">
        <v>5827</v>
      </c>
      <c r="C2248" s="148" t="s">
        <v>578</v>
      </c>
      <c r="D2248" s="148" t="s">
        <v>97</v>
      </c>
      <c r="E2248" s="148">
        <v>43403.870967739997</v>
      </c>
      <c r="F2248" t="s">
        <v>249</v>
      </c>
    </row>
    <row r="2249" spans="1:6" ht="15.75">
      <c r="A2249" t="str">
        <f t="shared" si="34"/>
        <v>TreyGazCHAUFF</v>
      </c>
      <c r="B2249" s="148">
        <v>5827</v>
      </c>
      <c r="C2249" s="148" t="s">
        <v>578</v>
      </c>
      <c r="D2249" s="148" t="s">
        <v>239</v>
      </c>
      <c r="E2249" s="148">
        <v>222276.26934986</v>
      </c>
      <c r="F2249" t="s">
        <v>249</v>
      </c>
    </row>
    <row r="2250" spans="1:6" ht="15.75">
      <c r="A2250" t="str">
        <f t="shared" si="34"/>
        <v>TreyMazoutCHAUFF</v>
      </c>
      <c r="B2250" s="148">
        <v>5827</v>
      </c>
      <c r="C2250" s="148" t="s">
        <v>578</v>
      </c>
      <c r="D2250" s="148" t="s">
        <v>70</v>
      </c>
      <c r="E2250" s="148">
        <v>3094985.4117647298</v>
      </c>
      <c r="F2250" t="s">
        <v>249</v>
      </c>
    </row>
    <row r="2251" spans="1:6" ht="15.75">
      <c r="A2251" t="str">
        <f t="shared" ref="A2251:A2314" si="35">_xlfn.CONCAT(C2251,D2251,F2251)</f>
        <v>TreyNon renseignéCHAUFF</v>
      </c>
      <c r="B2251" s="148">
        <v>5827</v>
      </c>
      <c r="C2251" s="148" t="s">
        <v>578</v>
      </c>
      <c r="D2251" s="148" t="s">
        <v>696</v>
      </c>
      <c r="E2251" s="148">
        <v>0</v>
      </c>
      <c r="F2251" t="s">
        <v>249</v>
      </c>
    </row>
    <row r="2252" spans="1:6" ht="15.75">
      <c r="A2252" t="str">
        <f t="shared" si="35"/>
        <v>TreyPACCHAUFF</v>
      </c>
      <c r="B2252" s="148">
        <v>5827</v>
      </c>
      <c r="C2252" s="148" t="s">
        <v>578</v>
      </c>
      <c r="D2252" s="148" t="s">
        <v>69</v>
      </c>
      <c r="E2252" s="148">
        <v>109059.43317229999</v>
      </c>
      <c r="F2252" t="s">
        <v>249</v>
      </c>
    </row>
    <row r="2253" spans="1:6" ht="15.75">
      <c r="A2253" t="str">
        <f t="shared" si="35"/>
        <v>TreySolaireCHAUFF</v>
      </c>
      <c r="B2253" s="148">
        <v>5827</v>
      </c>
      <c r="C2253" s="148" t="s">
        <v>578</v>
      </c>
      <c r="D2253" s="148" t="s">
        <v>240</v>
      </c>
      <c r="E2253" s="148" t="e">
        <v>#N/A</v>
      </c>
      <c r="F2253" t="s">
        <v>249</v>
      </c>
    </row>
    <row r="2254" spans="1:6" ht="15.75">
      <c r="A2254" t="str">
        <f t="shared" si="35"/>
        <v>TreycovagnesAutre agent énergétiqueCHAUFF</v>
      </c>
      <c r="B2254" s="148">
        <v>5931</v>
      </c>
      <c r="C2254" s="148" t="s">
        <v>579</v>
      </c>
      <c r="D2254" s="148" t="s">
        <v>245</v>
      </c>
      <c r="E2254" s="148">
        <v>25856</v>
      </c>
      <c r="F2254" t="s">
        <v>249</v>
      </c>
    </row>
    <row r="2255" spans="1:6" ht="15.75">
      <c r="A2255" t="str">
        <f t="shared" si="35"/>
        <v>TreycovagnesBoisCHAUFF</v>
      </c>
      <c r="B2255" s="148">
        <v>5931</v>
      </c>
      <c r="C2255" s="148" t="s">
        <v>579</v>
      </c>
      <c r="D2255" s="148" t="s">
        <v>66</v>
      </c>
      <c r="E2255" s="148">
        <v>176415.20000000999</v>
      </c>
      <c r="F2255" t="s">
        <v>249</v>
      </c>
    </row>
    <row r="2256" spans="1:6" ht="15.75">
      <c r="A2256" t="str">
        <f t="shared" si="35"/>
        <v>TreycovagnesElectricitéCHAUFF</v>
      </c>
      <c r="B2256" s="148">
        <v>5931</v>
      </c>
      <c r="C2256" s="148" t="s">
        <v>579</v>
      </c>
      <c r="D2256" s="148" t="s">
        <v>97</v>
      </c>
      <c r="E2256" s="148">
        <v>741940.43010751985</v>
      </c>
      <c r="F2256" t="s">
        <v>249</v>
      </c>
    </row>
    <row r="2257" spans="1:6" ht="15.75">
      <c r="A2257" t="str">
        <f t="shared" si="35"/>
        <v>TreycovagnesGazCHAUFF</v>
      </c>
      <c r="B2257" s="148">
        <v>5931</v>
      </c>
      <c r="C2257" s="148" t="s">
        <v>579</v>
      </c>
      <c r="D2257" s="148" t="s">
        <v>239</v>
      </c>
      <c r="E2257" s="148">
        <v>247699.34365324001</v>
      </c>
      <c r="F2257" t="s">
        <v>249</v>
      </c>
    </row>
    <row r="2258" spans="1:6" ht="15.75">
      <c r="A2258" t="str">
        <f t="shared" si="35"/>
        <v>TreycovagnesMazoutCHAUFF</v>
      </c>
      <c r="B2258" s="148">
        <v>5931</v>
      </c>
      <c r="C2258" s="148" t="s">
        <v>579</v>
      </c>
      <c r="D2258" s="148" t="s">
        <v>70</v>
      </c>
      <c r="E2258" s="148">
        <v>2789302.1764705898</v>
      </c>
      <c r="F2258" t="s">
        <v>249</v>
      </c>
    </row>
    <row r="2259" spans="1:6" ht="15.75">
      <c r="A2259" t="str">
        <f t="shared" si="35"/>
        <v>TreycovagnesNon renseignéCHAUFF</v>
      </c>
      <c r="B2259" s="148">
        <v>5931</v>
      </c>
      <c r="C2259" s="148" t="s">
        <v>579</v>
      </c>
      <c r="D2259" s="148" t="s">
        <v>696</v>
      </c>
      <c r="E2259" s="148">
        <v>0</v>
      </c>
      <c r="F2259" t="s">
        <v>249</v>
      </c>
    </row>
    <row r="2260" spans="1:6" ht="15.75">
      <c r="A2260" t="str">
        <f t="shared" si="35"/>
        <v>TreycovagnesPACCHAUFF</v>
      </c>
      <c r="B2260" s="148">
        <v>5931</v>
      </c>
      <c r="C2260" s="148" t="s">
        <v>579</v>
      </c>
      <c r="D2260" s="148" t="s">
        <v>69</v>
      </c>
      <c r="E2260" s="148">
        <v>236792.07374087998</v>
      </c>
      <c r="F2260" t="s">
        <v>249</v>
      </c>
    </row>
    <row r="2261" spans="1:6" ht="15.75">
      <c r="A2261" t="str">
        <f t="shared" si="35"/>
        <v>TreycovagnesSolaireCHAUFF</v>
      </c>
      <c r="B2261" s="148">
        <v>5931</v>
      </c>
      <c r="C2261" s="148" t="s">
        <v>579</v>
      </c>
      <c r="D2261" s="148" t="s">
        <v>240</v>
      </c>
      <c r="E2261" s="148" t="e">
        <v>#N/A</v>
      </c>
      <c r="F2261" t="s">
        <v>249</v>
      </c>
    </row>
    <row r="2262" spans="1:6" ht="15.75">
      <c r="A2262" t="str">
        <f t="shared" si="35"/>
        <v>Treytorrens (Payerne)BoisCHAUFF</v>
      </c>
      <c r="B2262" s="148">
        <v>5828</v>
      </c>
      <c r="C2262" s="148" t="s">
        <v>580</v>
      </c>
      <c r="D2262" s="148" t="s">
        <v>66</v>
      </c>
      <c r="E2262" s="148">
        <v>675633.9</v>
      </c>
      <c r="F2262" t="s">
        <v>249</v>
      </c>
    </row>
    <row r="2263" spans="1:6" ht="15.75">
      <c r="A2263" t="str">
        <f t="shared" si="35"/>
        <v>Treytorrens (Payerne)ElectricitéCHAUFF</v>
      </c>
      <c r="B2263" s="148">
        <v>5828</v>
      </c>
      <c r="C2263" s="148" t="s">
        <v>580</v>
      </c>
      <c r="D2263" s="148" t="s">
        <v>97</v>
      </c>
      <c r="E2263" s="148">
        <v>393527.09677419998</v>
      </c>
      <c r="F2263" t="s">
        <v>249</v>
      </c>
    </row>
    <row r="2264" spans="1:6" ht="15.75">
      <c r="A2264" t="str">
        <f t="shared" si="35"/>
        <v>Treytorrens (Payerne)GazCHAUFF</v>
      </c>
      <c r="B2264" s="148">
        <v>5828</v>
      </c>
      <c r="C2264" s="148" t="s">
        <v>580</v>
      </c>
      <c r="D2264" s="148" t="s">
        <v>239</v>
      </c>
      <c r="E2264" s="148">
        <v>266513.88235292997</v>
      </c>
      <c r="F2264" t="s">
        <v>249</v>
      </c>
    </row>
    <row r="2265" spans="1:6" ht="15.75">
      <c r="A2265" t="str">
        <f t="shared" si="35"/>
        <v>Treytorrens (Payerne)MazoutCHAUFF</v>
      </c>
      <c r="B2265" s="148">
        <v>5828</v>
      </c>
      <c r="C2265" s="148" t="s">
        <v>580</v>
      </c>
      <c r="D2265" s="148" t="s">
        <v>70</v>
      </c>
      <c r="E2265" s="148">
        <v>1036037.4117647399</v>
      </c>
      <c r="F2265" t="s">
        <v>249</v>
      </c>
    </row>
    <row r="2266" spans="1:6" ht="15.75">
      <c r="A2266" t="str">
        <f t="shared" si="35"/>
        <v>Treytorrens (Payerne)Non renseignéCHAUFF</v>
      </c>
      <c r="B2266" s="148">
        <v>5828</v>
      </c>
      <c r="C2266" s="148" t="s">
        <v>580</v>
      </c>
      <c r="D2266" s="148" t="s">
        <v>696</v>
      </c>
      <c r="E2266" s="148">
        <v>0</v>
      </c>
      <c r="F2266" t="s">
        <v>249</v>
      </c>
    </row>
    <row r="2267" spans="1:6" ht="15.75">
      <c r="A2267" t="str">
        <f t="shared" si="35"/>
        <v>Treytorrens (Payerne)PACCHAUFF</v>
      </c>
      <c r="B2267" s="148">
        <v>5828</v>
      </c>
      <c r="C2267" s="148" t="s">
        <v>580</v>
      </c>
      <c r="D2267" s="148" t="s">
        <v>69</v>
      </c>
      <c r="E2267" s="148">
        <v>5814.5185185199998</v>
      </c>
      <c r="F2267" t="s">
        <v>249</v>
      </c>
    </row>
    <row r="2268" spans="1:6" ht="15.75">
      <c r="A2268" t="str">
        <f t="shared" si="35"/>
        <v>Treytorrens (Payerne)SolaireCHAUFF</v>
      </c>
      <c r="B2268" s="148">
        <v>5828</v>
      </c>
      <c r="C2268" s="148" t="s">
        <v>580</v>
      </c>
      <c r="D2268" s="148" t="s">
        <v>240</v>
      </c>
      <c r="E2268" s="148" t="e">
        <v>#N/A</v>
      </c>
      <c r="F2268" t="s">
        <v>249</v>
      </c>
    </row>
    <row r="2269" spans="1:6" ht="15.75">
      <c r="A2269" t="str">
        <f t="shared" si="35"/>
        <v>UrsinsBoisCHAUFF</v>
      </c>
      <c r="B2269" s="148">
        <v>5932</v>
      </c>
      <c r="C2269" s="148" t="s">
        <v>581</v>
      </c>
      <c r="D2269" s="148" t="s">
        <v>66</v>
      </c>
      <c r="E2269" s="148">
        <v>673974.93333333998</v>
      </c>
      <c r="F2269" t="s">
        <v>249</v>
      </c>
    </row>
    <row r="2270" spans="1:6" ht="15.75">
      <c r="A2270" t="str">
        <f t="shared" si="35"/>
        <v>UrsinsCADCHAUFF</v>
      </c>
      <c r="B2270" s="148">
        <v>5932</v>
      </c>
      <c r="C2270" s="148" t="s">
        <v>581</v>
      </c>
      <c r="D2270" s="148" t="s">
        <v>242</v>
      </c>
      <c r="E2270" s="148">
        <v>18984</v>
      </c>
      <c r="F2270" t="s">
        <v>249</v>
      </c>
    </row>
    <row r="2271" spans="1:6" ht="15.75">
      <c r="A2271" t="str">
        <f t="shared" si="35"/>
        <v>UrsinsElectricitéCHAUFF</v>
      </c>
      <c r="B2271" s="148">
        <v>5932</v>
      </c>
      <c r="C2271" s="148" t="s">
        <v>581</v>
      </c>
      <c r="D2271" s="148" t="s">
        <v>97</v>
      </c>
      <c r="E2271" s="148">
        <v>229871.827957</v>
      </c>
      <c r="F2271" t="s">
        <v>249</v>
      </c>
    </row>
    <row r="2272" spans="1:6" ht="15.75">
      <c r="A2272" t="str">
        <f t="shared" si="35"/>
        <v>UrsinsGazCHAUFF</v>
      </c>
      <c r="B2272" s="148">
        <v>5932</v>
      </c>
      <c r="C2272" s="148" t="s">
        <v>581</v>
      </c>
      <c r="D2272" s="148" t="s">
        <v>239</v>
      </c>
      <c r="E2272" s="148">
        <v>51204.705882349997</v>
      </c>
      <c r="F2272" t="s">
        <v>249</v>
      </c>
    </row>
    <row r="2273" spans="1:6" ht="15.75">
      <c r="A2273" t="str">
        <f t="shared" si="35"/>
        <v>UrsinsMazoutCHAUFF</v>
      </c>
      <c r="B2273" s="148">
        <v>5932</v>
      </c>
      <c r="C2273" s="148" t="s">
        <v>581</v>
      </c>
      <c r="D2273" s="148" t="s">
        <v>70</v>
      </c>
      <c r="E2273" s="148">
        <v>2407637.176470649</v>
      </c>
      <c r="F2273" t="s">
        <v>249</v>
      </c>
    </row>
    <row r="2274" spans="1:6" ht="15.75">
      <c r="A2274" t="str">
        <f t="shared" si="35"/>
        <v>UrsinsNon renseignéCHAUFF</v>
      </c>
      <c r="B2274" s="148">
        <v>5932</v>
      </c>
      <c r="C2274" s="148" t="s">
        <v>581</v>
      </c>
      <c r="D2274" s="148" t="s">
        <v>696</v>
      </c>
      <c r="E2274" s="148">
        <v>0</v>
      </c>
      <c r="F2274" t="s">
        <v>249</v>
      </c>
    </row>
    <row r="2275" spans="1:6" ht="15.75">
      <c r="A2275" t="str">
        <f t="shared" si="35"/>
        <v>UrsinsPACCHAUFF</v>
      </c>
      <c r="B2275" s="148">
        <v>5932</v>
      </c>
      <c r="C2275" s="148" t="s">
        <v>581</v>
      </c>
      <c r="D2275" s="148" t="s">
        <v>69</v>
      </c>
      <c r="E2275" s="148">
        <v>74056.296296280008</v>
      </c>
      <c r="F2275" t="s">
        <v>249</v>
      </c>
    </row>
    <row r="2276" spans="1:6" ht="15.75">
      <c r="A2276" t="str">
        <f t="shared" si="35"/>
        <v>UrsinsSolaireCHAUFF</v>
      </c>
      <c r="B2276" s="148">
        <v>5932</v>
      </c>
      <c r="C2276" s="148" t="s">
        <v>581</v>
      </c>
      <c r="D2276" s="148" t="s">
        <v>240</v>
      </c>
      <c r="E2276" s="148" t="e">
        <v>#N/A</v>
      </c>
      <c r="F2276" t="s">
        <v>249</v>
      </c>
    </row>
    <row r="2277" spans="1:6" ht="15.75">
      <c r="A2277" t="str">
        <f t="shared" si="35"/>
        <v>ValbroyeAutre agent énergétiqueCHAUFF</v>
      </c>
      <c r="B2277" s="148">
        <v>5831</v>
      </c>
      <c r="C2277" s="148" t="s">
        <v>582</v>
      </c>
      <c r="D2277" s="148" t="s">
        <v>245</v>
      </c>
      <c r="E2277" s="148">
        <v>79355.294117650003</v>
      </c>
      <c r="F2277" t="s">
        <v>249</v>
      </c>
    </row>
    <row r="2278" spans="1:6" ht="15.75">
      <c r="A2278" t="str">
        <f t="shared" si="35"/>
        <v>ValbroyeBoisCHAUFF</v>
      </c>
      <c r="B2278" s="148">
        <v>5831</v>
      </c>
      <c r="C2278" s="148" t="s">
        <v>582</v>
      </c>
      <c r="D2278" s="148" t="s">
        <v>66</v>
      </c>
      <c r="E2278" s="148">
        <v>5811930.4972549099</v>
      </c>
      <c r="F2278" t="s">
        <v>249</v>
      </c>
    </row>
    <row r="2279" spans="1:6" ht="15.75">
      <c r="A2279" t="str">
        <f t="shared" si="35"/>
        <v>ValbroyeCADCHAUFF</v>
      </c>
      <c r="B2279" s="148">
        <v>5831</v>
      </c>
      <c r="C2279" s="148" t="s">
        <v>582</v>
      </c>
      <c r="D2279" s="148" t="s">
        <v>242</v>
      </c>
      <c r="E2279" s="148">
        <v>2283843.7000000002</v>
      </c>
      <c r="F2279" t="s">
        <v>249</v>
      </c>
    </row>
    <row r="2280" spans="1:6" ht="15.75">
      <c r="A2280" t="str">
        <f t="shared" si="35"/>
        <v>ValbroyeCharbonCHAUFF</v>
      </c>
      <c r="B2280" s="148">
        <v>5831</v>
      </c>
      <c r="C2280" s="148" t="s">
        <v>582</v>
      </c>
      <c r="D2280" s="148" t="s">
        <v>695</v>
      </c>
      <c r="E2280" s="148" t="e">
        <v>#N/A</v>
      </c>
      <c r="F2280" t="s">
        <v>249</v>
      </c>
    </row>
    <row r="2281" spans="1:6" ht="15.75">
      <c r="A2281" t="str">
        <f t="shared" si="35"/>
        <v>ValbroyeElectricitéCHAUFF</v>
      </c>
      <c r="B2281" s="148">
        <v>5831</v>
      </c>
      <c r="C2281" s="148" t="s">
        <v>582</v>
      </c>
      <c r="D2281" s="148" t="s">
        <v>97</v>
      </c>
      <c r="E2281" s="148">
        <v>2426086.3225806095</v>
      </c>
      <c r="F2281" t="s">
        <v>249</v>
      </c>
    </row>
    <row r="2282" spans="1:6" ht="15.75">
      <c r="A2282" t="str">
        <f t="shared" si="35"/>
        <v>ValbroyeGazCHAUFF</v>
      </c>
      <c r="B2282" s="148">
        <v>5831</v>
      </c>
      <c r="C2282" s="148" t="s">
        <v>582</v>
      </c>
      <c r="D2282" s="148" t="s">
        <v>239</v>
      </c>
      <c r="E2282" s="148">
        <v>6094240.8882352784</v>
      </c>
      <c r="F2282" t="s">
        <v>249</v>
      </c>
    </row>
    <row r="2283" spans="1:6" ht="15.75">
      <c r="A2283" t="str">
        <f t="shared" si="35"/>
        <v>ValbroyeMazoutCHAUFF</v>
      </c>
      <c r="B2283" s="148">
        <v>5831</v>
      </c>
      <c r="C2283" s="148" t="s">
        <v>582</v>
      </c>
      <c r="D2283" s="148" t="s">
        <v>70</v>
      </c>
      <c r="E2283" s="148">
        <v>23239289.405098207</v>
      </c>
      <c r="F2283" t="s">
        <v>249</v>
      </c>
    </row>
    <row r="2284" spans="1:6" ht="15.75">
      <c r="A2284" t="str">
        <f t="shared" si="35"/>
        <v>ValbroyeNon renseignéCHAUFF</v>
      </c>
      <c r="B2284" s="148">
        <v>5831</v>
      </c>
      <c r="C2284" s="148" t="s">
        <v>582</v>
      </c>
      <c r="D2284" s="148" t="s">
        <v>696</v>
      </c>
      <c r="E2284" s="148">
        <v>0</v>
      </c>
      <c r="F2284" t="s">
        <v>249</v>
      </c>
    </row>
    <row r="2285" spans="1:6" ht="15.75">
      <c r="A2285" t="str">
        <f t="shared" si="35"/>
        <v>ValbroyePACCHAUFF</v>
      </c>
      <c r="B2285" s="148">
        <v>5831</v>
      </c>
      <c r="C2285" s="148" t="s">
        <v>582</v>
      </c>
      <c r="D2285" s="148" t="s">
        <v>69</v>
      </c>
      <c r="E2285" s="148">
        <v>993275.02702715958</v>
      </c>
      <c r="F2285" t="s">
        <v>249</v>
      </c>
    </row>
    <row r="2286" spans="1:6" ht="15.75">
      <c r="A2286" t="str">
        <f t="shared" si="35"/>
        <v>ValbroyeSolaireCHAUFF</v>
      </c>
      <c r="B2286" s="148">
        <v>5831</v>
      </c>
      <c r="C2286" s="148" t="s">
        <v>582</v>
      </c>
      <c r="D2286" s="148" t="s">
        <v>240</v>
      </c>
      <c r="E2286" s="148">
        <v>105581.2</v>
      </c>
      <c r="F2286" t="s">
        <v>249</v>
      </c>
    </row>
    <row r="2287" spans="1:6" ht="15.75">
      <c r="A2287" t="str">
        <f t="shared" si="35"/>
        <v>Valeyres-sous-MontagnyBoisCHAUFF</v>
      </c>
      <c r="B2287" s="148">
        <v>5933</v>
      </c>
      <c r="C2287" s="148" t="s">
        <v>612</v>
      </c>
      <c r="D2287" s="148" t="s">
        <v>66</v>
      </c>
      <c r="E2287" s="148">
        <v>515744.31372549996</v>
      </c>
      <c r="F2287" t="s">
        <v>249</v>
      </c>
    </row>
    <row r="2288" spans="1:6" ht="15.75">
      <c r="A2288" t="str">
        <f t="shared" si="35"/>
        <v>Valeyres-sous-MontagnyElectricitéCHAUFF</v>
      </c>
      <c r="B2288" s="148">
        <v>5933</v>
      </c>
      <c r="C2288" s="148" t="s">
        <v>612</v>
      </c>
      <c r="D2288" s="148" t="s">
        <v>97</v>
      </c>
      <c r="E2288" s="148">
        <v>1316217.6344086102</v>
      </c>
      <c r="F2288" t="s">
        <v>249</v>
      </c>
    </row>
    <row r="2289" spans="1:6" ht="15.75">
      <c r="A2289" t="str">
        <f t="shared" si="35"/>
        <v>Valeyres-sous-MontagnyGazCHAUFF</v>
      </c>
      <c r="B2289" s="148">
        <v>5933</v>
      </c>
      <c r="C2289" s="148" t="s">
        <v>612</v>
      </c>
      <c r="D2289" s="148" t="s">
        <v>239</v>
      </c>
      <c r="E2289" s="148">
        <v>754995.81424147973</v>
      </c>
      <c r="F2289" t="s">
        <v>249</v>
      </c>
    </row>
    <row r="2290" spans="1:6" ht="15.75">
      <c r="A2290" t="str">
        <f t="shared" si="35"/>
        <v>Valeyres-sous-MontagnyMazoutCHAUFF</v>
      </c>
      <c r="B2290" s="148">
        <v>5933</v>
      </c>
      <c r="C2290" s="148" t="s">
        <v>612</v>
      </c>
      <c r="D2290" s="148" t="s">
        <v>70</v>
      </c>
      <c r="E2290" s="148">
        <v>5509985.2941176109</v>
      </c>
      <c r="F2290" t="s">
        <v>249</v>
      </c>
    </row>
    <row r="2291" spans="1:6" ht="15.75">
      <c r="A2291" t="str">
        <f t="shared" si="35"/>
        <v>Valeyres-sous-MontagnyNon renseignéCHAUFF</v>
      </c>
      <c r="B2291" s="148">
        <v>5933</v>
      </c>
      <c r="C2291" s="148" t="s">
        <v>612</v>
      </c>
      <c r="D2291" s="148" t="s">
        <v>696</v>
      </c>
      <c r="E2291" s="148">
        <v>0</v>
      </c>
      <c r="F2291" t="s">
        <v>249</v>
      </c>
    </row>
    <row r="2292" spans="1:6" ht="15.75">
      <c r="A2292" t="str">
        <f t="shared" si="35"/>
        <v>Valeyres-sous-MontagnyPACCHAUFF</v>
      </c>
      <c r="B2292" s="148">
        <v>5933</v>
      </c>
      <c r="C2292" s="148" t="s">
        <v>612</v>
      </c>
      <c r="D2292" s="148" t="s">
        <v>69</v>
      </c>
      <c r="E2292" s="148">
        <v>172991.64734300002</v>
      </c>
      <c r="F2292" t="s">
        <v>249</v>
      </c>
    </row>
    <row r="2293" spans="1:6" ht="15.75">
      <c r="A2293" t="str">
        <f t="shared" si="35"/>
        <v>Valeyres-sous-MontagnyCADCHAUFF</v>
      </c>
      <c r="B2293" s="148">
        <v>5933</v>
      </c>
      <c r="C2293" s="148" t="s">
        <v>612</v>
      </c>
      <c r="D2293" s="148" t="s">
        <v>242</v>
      </c>
      <c r="E2293" s="148" t="e">
        <v>#N/A</v>
      </c>
      <c r="F2293" t="s">
        <v>249</v>
      </c>
    </row>
    <row r="2294" spans="1:6" ht="15.75">
      <c r="A2294" t="str">
        <f t="shared" si="35"/>
        <v>Valeyres-sous-MontagnySolaireCHAUFF</v>
      </c>
      <c r="B2294" s="148">
        <v>5933</v>
      </c>
      <c r="C2294" s="148" t="s">
        <v>612</v>
      </c>
      <c r="D2294" s="148" t="s">
        <v>240</v>
      </c>
      <c r="E2294" s="148" t="e">
        <v>#N/A</v>
      </c>
      <c r="F2294" t="s">
        <v>249</v>
      </c>
    </row>
    <row r="2295" spans="1:6" ht="15.75">
      <c r="A2295" t="str">
        <f t="shared" si="35"/>
        <v>Valeyres-sous-RancesBoisCHAUFF</v>
      </c>
      <c r="B2295" s="148">
        <v>5763</v>
      </c>
      <c r="C2295" s="148" t="s">
        <v>611</v>
      </c>
      <c r="D2295" s="148" t="s">
        <v>66</v>
      </c>
      <c r="E2295" s="148">
        <v>1400516.3733333298</v>
      </c>
      <c r="F2295" t="s">
        <v>249</v>
      </c>
    </row>
    <row r="2296" spans="1:6" ht="15.75">
      <c r="A2296" t="str">
        <f t="shared" si="35"/>
        <v>Valeyres-sous-RancesElectricitéCHAUFF</v>
      </c>
      <c r="B2296" s="148">
        <v>5763</v>
      </c>
      <c r="C2296" s="148" t="s">
        <v>611</v>
      </c>
      <c r="D2296" s="148" t="s">
        <v>97</v>
      </c>
      <c r="E2296" s="148">
        <v>1496889.0322580901</v>
      </c>
      <c r="F2296" t="s">
        <v>249</v>
      </c>
    </row>
    <row r="2297" spans="1:6" ht="15.75">
      <c r="A2297" t="str">
        <f t="shared" si="35"/>
        <v>Valeyres-sous-RancesGazCHAUFF</v>
      </c>
      <c r="B2297" s="148">
        <v>5763</v>
      </c>
      <c r="C2297" s="148" t="s">
        <v>611</v>
      </c>
      <c r="D2297" s="148" t="s">
        <v>239</v>
      </c>
      <c r="E2297" s="148">
        <v>1916995.7325076996</v>
      </c>
      <c r="F2297" t="s">
        <v>249</v>
      </c>
    </row>
    <row r="2298" spans="1:6" ht="15.75">
      <c r="A2298" t="str">
        <f t="shared" si="35"/>
        <v>Valeyres-sous-RancesMazoutCHAUFF</v>
      </c>
      <c r="B2298" s="148">
        <v>5763</v>
      </c>
      <c r="C2298" s="148" t="s">
        <v>611</v>
      </c>
      <c r="D2298" s="148" t="s">
        <v>70</v>
      </c>
      <c r="E2298" s="148">
        <v>2606433.8823529799</v>
      </c>
      <c r="F2298" t="s">
        <v>249</v>
      </c>
    </row>
    <row r="2299" spans="1:6" ht="15.75">
      <c r="A2299" t="str">
        <f t="shared" si="35"/>
        <v>Valeyres-sous-RancesNon renseignéCHAUFF</v>
      </c>
      <c r="B2299" s="148">
        <v>5763</v>
      </c>
      <c r="C2299" s="148" t="s">
        <v>611</v>
      </c>
      <c r="D2299" s="148" t="s">
        <v>696</v>
      </c>
      <c r="E2299" s="148">
        <v>0</v>
      </c>
      <c r="F2299" t="s">
        <v>249</v>
      </c>
    </row>
    <row r="2300" spans="1:6" ht="15.75">
      <c r="A2300" t="str">
        <f t="shared" si="35"/>
        <v>Valeyres-sous-RancesPACCHAUFF</v>
      </c>
      <c r="B2300" s="148">
        <v>5763</v>
      </c>
      <c r="C2300" s="148" t="s">
        <v>611</v>
      </c>
      <c r="D2300" s="148" t="s">
        <v>69</v>
      </c>
      <c r="E2300" s="148">
        <v>98987.534943639999</v>
      </c>
      <c r="F2300" t="s">
        <v>249</v>
      </c>
    </row>
    <row r="2301" spans="1:6" ht="15.75">
      <c r="A2301" t="str">
        <f t="shared" si="35"/>
        <v>Valeyres-sous-RancesSolaireCHAUFF</v>
      </c>
      <c r="B2301" s="148">
        <v>5763</v>
      </c>
      <c r="C2301" s="148" t="s">
        <v>611</v>
      </c>
      <c r="D2301" s="148" t="s">
        <v>240</v>
      </c>
      <c r="E2301" s="148">
        <v>15651</v>
      </c>
      <c r="F2301" t="s">
        <v>249</v>
      </c>
    </row>
    <row r="2302" spans="1:6" ht="15.75">
      <c r="A2302" t="str">
        <f t="shared" si="35"/>
        <v>Valeyres-sous-UrsinsBoisCHAUFF</v>
      </c>
      <c r="B2302" s="148">
        <v>5934</v>
      </c>
      <c r="C2302" s="148" t="s">
        <v>610</v>
      </c>
      <c r="D2302" s="148" t="s">
        <v>66</v>
      </c>
      <c r="E2302" s="148">
        <v>494030.00784312998</v>
      </c>
      <c r="F2302" t="s">
        <v>249</v>
      </c>
    </row>
    <row r="2303" spans="1:6" ht="15.75">
      <c r="A2303" t="str">
        <f t="shared" si="35"/>
        <v>Valeyres-sous-UrsinsElectricitéCHAUFF</v>
      </c>
      <c r="B2303" s="148">
        <v>5934</v>
      </c>
      <c r="C2303" s="148" t="s">
        <v>610</v>
      </c>
      <c r="D2303" s="148" t="s">
        <v>97</v>
      </c>
      <c r="E2303" s="148">
        <v>206419.78494624002</v>
      </c>
      <c r="F2303" t="s">
        <v>249</v>
      </c>
    </row>
    <row r="2304" spans="1:6" ht="15.75">
      <c r="A2304" t="str">
        <f t="shared" si="35"/>
        <v>Valeyres-sous-UrsinsMazoutCHAUFF</v>
      </c>
      <c r="B2304" s="148">
        <v>5934</v>
      </c>
      <c r="C2304" s="148" t="s">
        <v>610</v>
      </c>
      <c r="D2304" s="148" t="s">
        <v>70</v>
      </c>
      <c r="E2304" s="148">
        <v>2631934.5490196301</v>
      </c>
      <c r="F2304" t="s">
        <v>249</v>
      </c>
    </row>
    <row r="2305" spans="1:6" ht="15.75">
      <c r="A2305" t="str">
        <f t="shared" si="35"/>
        <v>Valeyres-sous-UrsinsNon renseignéCHAUFF</v>
      </c>
      <c r="B2305" s="148">
        <v>5934</v>
      </c>
      <c r="C2305" s="148" t="s">
        <v>610</v>
      </c>
      <c r="D2305" s="148" t="s">
        <v>696</v>
      </c>
      <c r="E2305" s="148">
        <v>0</v>
      </c>
      <c r="F2305" t="s">
        <v>249</v>
      </c>
    </row>
    <row r="2306" spans="1:6" ht="15.75">
      <c r="A2306" t="str">
        <f t="shared" si="35"/>
        <v>Valeyres-sous-UrsinsPACCHAUFF</v>
      </c>
      <c r="B2306" s="148">
        <v>5934</v>
      </c>
      <c r="C2306" s="148" t="s">
        <v>610</v>
      </c>
      <c r="D2306" s="148" t="s">
        <v>69</v>
      </c>
      <c r="E2306" s="148">
        <v>92462.043010760011</v>
      </c>
      <c r="F2306" t="s">
        <v>249</v>
      </c>
    </row>
    <row r="2307" spans="1:6" ht="15.75">
      <c r="A2307" t="str">
        <f t="shared" si="35"/>
        <v>Valeyres-sous-UrsinsSolaireCHAUFF</v>
      </c>
      <c r="B2307" s="148">
        <v>5934</v>
      </c>
      <c r="C2307" s="148" t="s">
        <v>610</v>
      </c>
      <c r="D2307" s="148" t="s">
        <v>240</v>
      </c>
      <c r="E2307" s="148" t="e">
        <v>#N/A</v>
      </c>
      <c r="F2307" t="s">
        <v>249</v>
      </c>
    </row>
    <row r="2308" spans="1:6" ht="15.75">
      <c r="A2308" t="str">
        <f t="shared" si="35"/>
        <v>VallorbeBoisCHAUFF</v>
      </c>
      <c r="B2308" s="148">
        <v>5764</v>
      </c>
      <c r="C2308" s="148" t="s">
        <v>583</v>
      </c>
      <c r="D2308" s="148" t="s">
        <v>66</v>
      </c>
      <c r="E2308" s="148">
        <v>2028856.7317647096</v>
      </c>
      <c r="F2308" t="s">
        <v>249</v>
      </c>
    </row>
    <row r="2309" spans="1:6" ht="15.75">
      <c r="A2309" t="str">
        <f t="shared" si="35"/>
        <v>VallorbeCADCHAUFF</v>
      </c>
      <c r="B2309" s="148">
        <v>5764</v>
      </c>
      <c r="C2309" s="148" t="s">
        <v>583</v>
      </c>
      <c r="D2309" s="148" t="s">
        <v>242</v>
      </c>
      <c r="E2309" s="148">
        <v>43071.65</v>
      </c>
      <c r="F2309" t="s">
        <v>249</v>
      </c>
    </row>
    <row r="2310" spans="1:6" ht="15.75">
      <c r="A2310" t="str">
        <f t="shared" si="35"/>
        <v>VallorbeElectricitéCHAUFF</v>
      </c>
      <c r="B2310" s="148">
        <v>5764</v>
      </c>
      <c r="C2310" s="148" t="s">
        <v>583</v>
      </c>
      <c r="D2310" s="148" t="s">
        <v>97</v>
      </c>
      <c r="E2310" s="148">
        <v>604617.84946237016</v>
      </c>
      <c r="F2310" t="s">
        <v>249</v>
      </c>
    </row>
    <row r="2311" spans="1:6" ht="15.75">
      <c r="A2311" t="str">
        <f t="shared" si="35"/>
        <v>VallorbeGazCHAUFF</v>
      </c>
      <c r="B2311" s="148">
        <v>5764</v>
      </c>
      <c r="C2311" s="148" t="s">
        <v>583</v>
      </c>
      <c r="D2311" s="148" t="s">
        <v>239</v>
      </c>
      <c r="E2311" s="148">
        <v>12646217.904024743</v>
      </c>
      <c r="F2311" t="s">
        <v>249</v>
      </c>
    </row>
    <row r="2312" spans="1:6" ht="15.75">
      <c r="A2312" t="str">
        <f t="shared" si="35"/>
        <v>VallorbeMazoutCHAUFF</v>
      </c>
      <c r="B2312" s="148">
        <v>5764</v>
      </c>
      <c r="C2312" s="148" t="s">
        <v>583</v>
      </c>
      <c r="D2312" s="148" t="s">
        <v>70</v>
      </c>
      <c r="E2312" s="148">
        <v>18497735.093341988</v>
      </c>
      <c r="F2312" t="s">
        <v>249</v>
      </c>
    </row>
    <row r="2313" spans="1:6" ht="15.75">
      <c r="A2313" t="str">
        <f t="shared" si="35"/>
        <v>VallorbeNon renseignéCHAUFF</v>
      </c>
      <c r="B2313" s="148">
        <v>5764</v>
      </c>
      <c r="C2313" s="148" t="s">
        <v>583</v>
      </c>
      <c r="D2313" s="148" t="s">
        <v>696</v>
      </c>
      <c r="E2313" s="148">
        <v>0</v>
      </c>
      <c r="F2313" t="s">
        <v>249</v>
      </c>
    </row>
    <row r="2314" spans="1:6" ht="15.75">
      <c r="A2314" t="str">
        <f t="shared" si="35"/>
        <v>VallorbePACCHAUFF</v>
      </c>
      <c r="B2314" s="148">
        <v>5764</v>
      </c>
      <c r="C2314" s="148" t="s">
        <v>583</v>
      </c>
      <c r="D2314" s="148" t="s">
        <v>69</v>
      </c>
      <c r="E2314" s="148">
        <v>481877.82073658</v>
      </c>
      <c r="F2314" t="s">
        <v>249</v>
      </c>
    </row>
    <row r="2315" spans="1:6" ht="15.75">
      <c r="A2315" t="str">
        <f t="shared" ref="A2315:A2378" si="36">_xlfn.CONCAT(C2315,D2315,F2315)</f>
        <v>VallorbeSolaireCHAUFF</v>
      </c>
      <c r="B2315" s="148">
        <v>5764</v>
      </c>
      <c r="C2315" s="148" t="s">
        <v>583</v>
      </c>
      <c r="D2315" s="148" t="s">
        <v>240</v>
      </c>
      <c r="E2315" s="148">
        <v>81654</v>
      </c>
      <c r="F2315" t="s">
        <v>249</v>
      </c>
    </row>
    <row r="2316" spans="1:6" ht="15.75">
      <c r="A2316" t="str">
        <f t="shared" si="36"/>
        <v>VaulionBoisCHAUFF</v>
      </c>
      <c r="B2316" s="148">
        <v>5765</v>
      </c>
      <c r="C2316" s="148" t="s">
        <v>584</v>
      </c>
      <c r="D2316" s="148" t="s">
        <v>66</v>
      </c>
      <c r="E2316" s="148">
        <v>4174087.011764721</v>
      </c>
      <c r="F2316" t="s">
        <v>249</v>
      </c>
    </row>
    <row r="2317" spans="1:6" ht="15.75">
      <c r="A2317" t="str">
        <f t="shared" si="36"/>
        <v>VaulionElectricitéCHAUFF</v>
      </c>
      <c r="B2317" s="148">
        <v>5765</v>
      </c>
      <c r="C2317" s="148" t="s">
        <v>584</v>
      </c>
      <c r="D2317" s="148" t="s">
        <v>97</v>
      </c>
      <c r="E2317" s="148">
        <v>645627.91397850006</v>
      </c>
      <c r="F2317" t="s">
        <v>249</v>
      </c>
    </row>
    <row r="2318" spans="1:6" ht="15.75">
      <c r="A2318" t="str">
        <f t="shared" si="36"/>
        <v>VaulionGazCHAUFF</v>
      </c>
      <c r="B2318" s="148">
        <v>5765</v>
      </c>
      <c r="C2318" s="148" t="s">
        <v>584</v>
      </c>
      <c r="D2318" s="148" t="s">
        <v>239</v>
      </c>
      <c r="E2318" s="148">
        <v>1594325.4674922698</v>
      </c>
      <c r="F2318" t="s">
        <v>249</v>
      </c>
    </row>
    <row r="2319" spans="1:6" ht="15.75">
      <c r="A2319" t="str">
        <f t="shared" si="36"/>
        <v>VaulionMazoutCHAUFF</v>
      </c>
      <c r="B2319" s="148">
        <v>5765</v>
      </c>
      <c r="C2319" s="148" t="s">
        <v>584</v>
      </c>
      <c r="D2319" s="148" t="s">
        <v>70</v>
      </c>
      <c r="E2319" s="148">
        <v>5703482.4941176604</v>
      </c>
      <c r="F2319" t="s">
        <v>249</v>
      </c>
    </row>
    <row r="2320" spans="1:6" ht="15.75">
      <c r="A2320" t="str">
        <f t="shared" si="36"/>
        <v>VaulionNon renseignéCHAUFF</v>
      </c>
      <c r="B2320" s="148">
        <v>5765</v>
      </c>
      <c r="C2320" s="148" t="s">
        <v>584</v>
      </c>
      <c r="D2320" s="148" t="s">
        <v>696</v>
      </c>
      <c r="E2320" s="148">
        <v>0</v>
      </c>
      <c r="F2320" t="s">
        <v>249</v>
      </c>
    </row>
    <row r="2321" spans="1:6" ht="15.75">
      <c r="A2321" t="str">
        <f t="shared" si="36"/>
        <v>VaulionPACCHAUFF</v>
      </c>
      <c r="B2321" s="148">
        <v>5765</v>
      </c>
      <c r="C2321" s="148" t="s">
        <v>584</v>
      </c>
      <c r="D2321" s="148" t="s">
        <v>69</v>
      </c>
      <c r="E2321" s="148">
        <v>11741.304347830001</v>
      </c>
      <c r="F2321" t="s">
        <v>249</v>
      </c>
    </row>
    <row r="2322" spans="1:6" ht="15.75">
      <c r="A2322" t="str">
        <f t="shared" si="36"/>
        <v>VaulionSolaireCHAUFF</v>
      </c>
      <c r="B2322" s="148">
        <v>5765</v>
      </c>
      <c r="C2322" s="148" t="s">
        <v>584</v>
      </c>
      <c r="D2322" s="148" t="s">
        <v>240</v>
      </c>
      <c r="E2322" s="148" t="e">
        <v>#N/A</v>
      </c>
      <c r="F2322" t="s">
        <v>249</v>
      </c>
    </row>
    <row r="2323" spans="1:6" ht="15.75">
      <c r="A2323" t="str">
        <f t="shared" si="36"/>
        <v>Vaux-sur-MorgesBoisCHAUFF</v>
      </c>
      <c r="B2323" s="148">
        <v>5650</v>
      </c>
      <c r="C2323" s="148" t="s">
        <v>609</v>
      </c>
      <c r="D2323" s="148" t="s">
        <v>66</v>
      </c>
      <c r="E2323" s="148">
        <v>581075.19999999006</v>
      </c>
      <c r="F2323" t="s">
        <v>249</v>
      </c>
    </row>
    <row r="2324" spans="1:6" ht="15.75">
      <c r="A2324" t="str">
        <f t="shared" si="36"/>
        <v>Vaux-sur-MorgesCADCHAUFF</v>
      </c>
      <c r="B2324" s="148">
        <v>5650</v>
      </c>
      <c r="C2324" s="148" t="s">
        <v>609</v>
      </c>
      <c r="D2324" s="148" t="s">
        <v>242</v>
      </c>
      <c r="E2324" s="148">
        <v>73272</v>
      </c>
      <c r="F2324" t="s">
        <v>249</v>
      </c>
    </row>
    <row r="2325" spans="1:6" ht="15.75">
      <c r="A2325" t="str">
        <f t="shared" si="36"/>
        <v>Vaux-sur-MorgesElectricitéCHAUFF</v>
      </c>
      <c r="B2325" s="148">
        <v>5650</v>
      </c>
      <c r="C2325" s="148" t="s">
        <v>609</v>
      </c>
      <c r="D2325" s="148" t="s">
        <v>97</v>
      </c>
      <c r="E2325" s="148">
        <v>139298.92473117998</v>
      </c>
      <c r="F2325" t="s">
        <v>249</v>
      </c>
    </row>
    <row r="2326" spans="1:6" ht="15.75">
      <c r="A2326" t="str">
        <f t="shared" si="36"/>
        <v>Vaux-sur-MorgesMazoutCHAUFF</v>
      </c>
      <c r="B2326" s="148">
        <v>5650</v>
      </c>
      <c r="C2326" s="148" t="s">
        <v>609</v>
      </c>
      <c r="D2326" s="148" t="s">
        <v>70</v>
      </c>
      <c r="E2326" s="148">
        <v>1185221.4117647302</v>
      </c>
      <c r="F2326" t="s">
        <v>249</v>
      </c>
    </row>
    <row r="2327" spans="1:6" ht="15.75">
      <c r="A2327" t="str">
        <f t="shared" si="36"/>
        <v>Vaux-sur-MorgesNon renseignéCHAUFF</v>
      </c>
      <c r="B2327" s="148">
        <v>5650</v>
      </c>
      <c r="C2327" s="148" t="s">
        <v>609</v>
      </c>
      <c r="D2327" s="148" t="s">
        <v>696</v>
      </c>
      <c r="E2327" s="148">
        <v>0</v>
      </c>
      <c r="F2327" t="s">
        <v>249</v>
      </c>
    </row>
    <row r="2328" spans="1:6" ht="15.75">
      <c r="A2328" t="str">
        <f t="shared" si="36"/>
        <v>Vaux-sur-MorgesPACCHAUFF</v>
      </c>
      <c r="B2328" s="148">
        <v>5650</v>
      </c>
      <c r="C2328" s="148" t="s">
        <v>609</v>
      </c>
      <c r="D2328" s="148" t="s">
        <v>69</v>
      </c>
      <c r="E2328" s="148">
        <v>50974.370370359997</v>
      </c>
      <c r="F2328" t="s">
        <v>249</v>
      </c>
    </row>
    <row r="2329" spans="1:6" ht="15.75">
      <c r="A2329" t="str">
        <f t="shared" si="36"/>
        <v>Vaux-sur-MorgesSolaireCHAUFF</v>
      </c>
      <c r="B2329" s="148">
        <v>5650</v>
      </c>
      <c r="C2329" s="148" t="s">
        <v>609</v>
      </c>
      <c r="D2329" s="148" t="s">
        <v>240</v>
      </c>
      <c r="E2329" s="148" t="e">
        <v>#N/A</v>
      </c>
      <c r="F2329" t="s">
        <v>249</v>
      </c>
    </row>
    <row r="2330" spans="1:6" ht="15.75">
      <c r="A2330" t="str">
        <f t="shared" si="36"/>
        <v>VeveyAutre agent énergétiqueCHAUFF</v>
      </c>
      <c r="B2330" s="148">
        <v>5890</v>
      </c>
      <c r="C2330" s="148" t="s">
        <v>585</v>
      </c>
      <c r="D2330" s="148" t="s">
        <v>245</v>
      </c>
      <c r="E2330" s="148">
        <v>990872.47058824007</v>
      </c>
      <c r="F2330" t="s">
        <v>249</v>
      </c>
    </row>
    <row r="2331" spans="1:6" ht="15.75">
      <c r="A2331" t="str">
        <f t="shared" si="36"/>
        <v>VeveyBoisCHAUFF</v>
      </c>
      <c r="B2331" s="148">
        <v>5890</v>
      </c>
      <c r="C2331" s="148" t="s">
        <v>585</v>
      </c>
      <c r="D2331" s="148" t="s">
        <v>66</v>
      </c>
      <c r="E2331" s="148">
        <v>1594487.0901960901</v>
      </c>
      <c r="F2331" t="s">
        <v>249</v>
      </c>
    </row>
    <row r="2332" spans="1:6" ht="15.75">
      <c r="A2332" t="str">
        <f t="shared" si="36"/>
        <v>VeveyCADCHAUFF</v>
      </c>
      <c r="B2332" s="148">
        <v>5890</v>
      </c>
      <c r="C2332" s="148" t="s">
        <v>585</v>
      </c>
      <c r="D2332" s="148" t="s">
        <v>242</v>
      </c>
      <c r="E2332" s="148">
        <v>4547107.5999999996</v>
      </c>
      <c r="F2332" t="s">
        <v>249</v>
      </c>
    </row>
    <row r="2333" spans="1:6" ht="15.75">
      <c r="A2333" t="str">
        <f t="shared" si="36"/>
        <v>VeveyElectricitéCHAUFF</v>
      </c>
      <c r="B2333" s="148">
        <v>5890</v>
      </c>
      <c r="C2333" s="148" t="s">
        <v>585</v>
      </c>
      <c r="D2333" s="148" t="s">
        <v>97</v>
      </c>
      <c r="E2333" s="148">
        <v>1548216.5591397898</v>
      </c>
      <c r="F2333" t="s">
        <v>249</v>
      </c>
    </row>
    <row r="2334" spans="1:6" ht="15.75">
      <c r="A2334" t="str">
        <f t="shared" si="36"/>
        <v>VeveyGazCHAUFF</v>
      </c>
      <c r="B2334" s="148">
        <v>5890</v>
      </c>
      <c r="C2334" s="148" t="s">
        <v>585</v>
      </c>
      <c r="D2334" s="148" t="s">
        <v>239</v>
      </c>
      <c r="E2334" s="148">
        <v>85558817.731269285</v>
      </c>
      <c r="F2334" t="s">
        <v>249</v>
      </c>
    </row>
    <row r="2335" spans="1:6" ht="15.75">
      <c r="A2335" t="str">
        <f t="shared" si="36"/>
        <v>VeveyMazoutCHAUFF</v>
      </c>
      <c r="B2335" s="148">
        <v>5890</v>
      </c>
      <c r="C2335" s="148" t="s">
        <v>585</v>
      </c>
      <c r="D2335" s="148" t="s">
        <v>70</v>
      </c>
      <c r="E2335" s="148">
        <v>60375685.795860685</v>
      </c>
      <c r="F2335" t="s">
        <v>249</v>
      </c>
    </row>
    <row r="2336" spans="1:6" ht="15.75">
      <c r="A2336" t="str">
        <f t="shared" si="36"/>
        <v>VeveyNon renseignéCHAUFF</v>
      </c>
      <c r="B2336" s="148">
        <v>5890</v>
      </c>
      <c r="C2336" s="148" t="s">
        <v>585</v>
      </c>
      <c r="D2336" s="148" t="s">
        <v>696</v>
      </c>
      <c r="E2336" s="148">
        <v>0</v>
      </c>
      <c r="F2336" t="s">
        <v>249</v>
      </c>
    </row>
    <row r="2337" spans="1:6" ht="15.75">
      <c r="A2337" t="str">
        <f t="shared" si="36"/>
        <v>VeveyPACCHAUFF</v>
      </c>
      <c r="B2337" s="148">
        <v>5890</v>
      </c>
      <c r="C2337" s="148" t="s">
        <v>585</v>
      </c>
      <c r="D2337" s="148" t="s">
        <v>69</v>
      </c>
      <c r="E2337" s="148">
        <v>1567604.4128616799</v>
      </c>
      <c r="F2337" t="s">
        <v>249</v>
      </c>
    </row>
    <row r="2338" spans="1:6" ht="15.75">
      <c r="A2338" t="str">
        <f t="shared" si="36"/>
        <v>VeveySolaireCHAUFF</v>
      </c>
      <c r="B2338" s="148">
        <v>5890</v>
      </c>
      <c r="C2338" s="148" t="s">
        <v>585</v>
      </c>
      <c r="D2338" s="148" t="s">
        <v>240</v>
      </c>
      <c r="E2338" s="148">
        <v>397380</v>
      </c>
      <c r="F2338" t="s">
        <v>249</v>
      </c>
    </row>
    <row r="2339" spans="1:6" ht="15.75">
      <c r="A2339" t="str">
        <f t="shared" si="36"/>
        <v>VeytauxBoisCHAUFF</v>
      </c>
      <c r="B2339" s="148">
        <v>5891</v>
      </c>
      <c r="C2339" s="148" t="s">
        <v>586</v>
      </c>
      <c r="D2339" s="148" t="s">
        <v>66</v>
      </c>
      <c r="E2339" s="148">
        <v>809388.95999998995</v>
      </c>
      <c r="F2339" t="s">
        <v>249</v>
      </c>
    </row>
    <row r="2340" spans="1:6" ht="15.75">
      <c r="A2340" t="str">
        <f t="shared" si="36"/>
        <v>VeytauxElectricitéCHAUFF</v>
      </c>
      <c r="B2340" s="148">
        <v>5891</v>
      </c>
      <c r="C2340" s="148" t="s">
        <v>586</v>
      </c>
      <c r="D2340" s="148" t="s">
        <v>97</v>
      </c>
      <c r="E2340" s="148">
        <v>229597.95698924997</v>
      </c>
      <c r="F2340" t="s">
        <v>249</v>
      </c>
    </row>
    <row r="2341" spans="1:6" ht="15.75">
      <c r="A2341" t="str">
        <f t="shared" si="36"/>
        <v>VeytauxGazCHAUFF</v>
      </c>
      <c r="B2341" s="148">
        <v>5891</v>
      </c>
      <c r="C2341" s="148" t="s">
        <v>586</v>
      </c>
      <c r="D2341" s="148" t="s">
        <v>239</v>
      </c>
      <c r="E2341" s="148">
        <v>7039320.4055727515</v>
      </c>
      <c r="F2341" t="s">
        <v>249</v>
      </c>
    </row>
    <row r="2342" spans="1:6" ht="15.75">
      <c r="A2342" t="str">
        <f t="shared" si="36"/>
        <v>VeytauxMazoutCHAUFF</v>
      </c>
      <c r="B2342" s="148">
        <v>5891</v>
      </c>
      <c r="C2342" s="148" t="s">
        <v>586</v>
      </c>
      <c r="D2342" s="148" t="s">
        <v>70</v>
      </c>
      <c r="E2342" s="148">
        <v>4766582.3529411703</v>
      </c>
      <c r="F2342" t="s">
        <v>249</v>
      </c>
    </row>
    <row r="2343" spans="1:6" ht="15.75">
      <c r="A2343" t="str">
        <f t="shared" si="36"/>
        <v>VeytauxPACCHAUFF</v>
      </c>
      <c r="B2343" s="148">
        <v>5891</v>
      </c>
      <c r="C2343" s="148" t="s">
        <v>586</v>
      </c>
      <c r="D2343" s="148" t="s">
        <v>69</v>
      </c>
      <c r="E2343" s="148">
        <v>58687.573268919994</v>
      </c>
      <c r="F2343" t="s">
        <v>249</v>
      </c>
    </row>
    <row r="2344" spans="1:6" ht="15.75">
      <c r="A2344" t="str">
        <f t="shared" si="36"/>
        <v>VeytauxSolaireCHAUFF</v>
      </c>
      <c r="B2344" s="148">
        <v>5891</v>
      </c>
      <c r="C2344" s="148" t="s">
        <v>586</v>
      </c>
      <c r="D2344" s="148" t="s">
        <v>240</v>
      </c>
      <c r="E2344" s="148">
        <v>86904</v>
      </c>
      <c r="F2344" t="s">
        <v>249</v>
      </c>
    </row>
    <row r="2345" spans="1:6" ht="15.75">
      <c r="A2345" t="str">
        <f t="shared" si="36"/>
        <v>VeytauxCADCHAUFF</v>
      </c>
      <c r="B2345" s="148">
        <v>5891</v>
      </c>
      <c r="C2345" s="148" t="s">
        <v>586</v>
      </c>
      <c r="D2345" s="148" t="s">
        <v>242</v>
      </c>
      <c r="E2345" s="148" t="e">
        <v>#N/A</v>
      </c>
      <c r="F2345" t="s">
        <v>249</v>
      </c>
    </row>
    <row r="2346" spans="1:6" ht="15.75">
      <c r="A2346" t="str">
        <f t="shared" si="36"/>
        <v>VichBoisCHAUFF</v>
      </c>
      <c r="B2346" s="148">
        <v>5732</v>
      </c>
      <c r="C2346" s="148" t="s">
        <v>587</v>
      </c>
      <c r="D2346" s="148" t="s">
        <v>66</v>
      </c>
      <c r="E2346" s="148">
        <v>569938.65098038991</v>
      </c>
      <c r="F2346" t="s">
        <v>249</v>
      </c>
    </row>
    <row r="2347" spans="1:6" ht="15.75">
      <c r="A2347" t="str">
        <f t="shared" si="36"/>
        <v>VichElectricitéCHAUFF</v>
      </c>
      <c r="B2347" s="148">
        <v>5732</v>
      </c>
      <c r="C2347" s="148" t="s">
        <v>587</v>
      </c>
      <c r="D2347" s="148" t="s">
        <v>97</v>
      </c>
      <c r="E2347" s="148">
        <v>2056804.3010752895</v>
      </c>
      <c r="F2347" t="s">
        <v>249</v>
      </c>
    </row>
    <row r="2348" spans="1:6" ht="15.75">
      <c r="A2348" t="str">
        <f t="shared" si="36"/>
        <v>VichGazCHAUFF</v>
      </c>
      <c r="B2348" s="148">
        <v>5732</v>
      </c>
      <c r="C2348" s="148" t="s">
        <v>587</v>
      </c>
      <c r="D2348" s="148" t="s">
        <v>239</v>
      </c>
      <c r="E2348" s="148">
        <v>2733153.4142414392</v>
      </c>
      <c r="F2348" t="s">
        <v>249</v>
      </c>
    </row>
    <row r="2349" spans="1:6" ht="15.75">
      <c r="A2349" t="str">
        <f t="shared" si="36"/>
        <v>VichMazoutCHAUFF</v>
      </c>
      <c r="B2349" s="148">
        <v>5732</v>
      </c>
      <c r="C2349" s="148" t="s">
        <v>587</v>
      </c>
      <c r="D2349" s="148" t="s">
        <v>70</v>
      </c>
      <c r="E2349" s="148">
        <v>3481488.6588235497</v>
      </c>
      <c r="F2349" t="s">
        <v>249</v>
      </c>
    </row>
    <row r="2350" spans="1:6" ht="15.75">
      <c r="A2350" t="str">
        <f t="shared" si="36"/>
        <v>VichNon renseignéCHAUFF</v>
      </c>
      <c r="B2350" s="148">
        <v>5732</v>
      </c>
      <c r="C2350" s="148" t="s">
        <v>587</v>
      </c>
      <c r="D2350" s="148" t="s">
        <v>696</v>
      </c>
      <c r="E2350" s="148">
        <v>0</v>
      </c>
      <c r="F2350" t="s">
        <v>249</v>
      </c>
    </row>
    <row r="2351" spans="1:6" ht="15.75">
      <c r="A2351" t="str">
        <f t="shared" si="36"/>
        <v>VichPACCHAUFF</v>
      </c>
      <c r="B2351" s="148">
        <v>5732</v>
      </c>
      <c r="C2351" s="148" t="s">
        <v>587</v>
      </c>
      <c r="D2351" s="148" t="s">
        <v>69</v>
      </c>
      <c r="E2351" s="148">
        <v>1000678.3848781702</v>
      </c>
      <c r="F2351" t="s">
        <v>249</v>
      </c>
    </row>
    <row r="2352" spans="1:6" ht="15.75">
      <c r="A2352" t="str">
        <f t="shared" si="36"/>
        <v>VichSolaireCHAUFF</v>
      </c>
      <c r="B2352" s="148">
        <v>5732</v>
      </c>
      <c r="C2352" s="148" t="s">
        <v>587</v>
      </c>
      <c r="D2352" s="148" t="s">
        <v>240</v>
      </c>
      <c r="E2352" s="148" t="e">
        <v>#N/A</v>
      </c>
      <c r="F2352" t="s">
        <v>249</v>
      </c>
    </row>
    <row r="2353" spans="1:6" ht="15.75">
      <c r="A2353" t="str">
        <f t="shared" si="36"/>
        <v>Villars-EpeneyBoisCHAUFF</v>
      </c>
      <c r="B2353" s="148">
        <v>5935</v>
      </c>
      <c r="C2353" s="148" t="s">
        <v>588</v>
      </c>
      <c r="D2353" s="148" t="s">
        <v>66</v>
      </c>
      <c r="E2353" s="148">
        <v>438998.11764706002</v>
      </c>
      <c r="F2353" t="s">
        <v>249</v>
      </c>
    </row>
    <row r="2354" spans="1:6" ht="15.75">
      <c r="A2354" t="str">
        <f t="shared" si="36"/>
        <v>Villars-EpeneyElectricitéCHAUFF</v>
      </c>
      <c r="B2354" s="148">
        <v>5935</v>
      </c>
      <c r="C2354" s="148" t="s">
        <v>588</v>
      </c>
      <c r="D2354" s="148" t="s">
        <v>97</v>
      </c>
      <c r="E2354" s="148">
        <v>36400.860215050001</v>
      </c>
      <c r="F2354" t="s">
        <v>249</v>
      </c>
    </row>
    <row r="2355" spans="1:6" ht="15.75">
      <c r="A2355" t="str">
        <f t="shared" si="36"/>
        <v>Villars-EpeneyGazCHAUFF</v>
      </c>
      <c r="B2355" s="148">
        <v>5935</v>
      </c>
      <c r="C2355" s="148" t="s">
        <v>588</v>
      </c>
      <c r="D2355" s="148" t="s">
        <v>239</v>
      </c>
      <c r="E2355" s="148">
        <v>273944.21052631998</v>
      </c>
      <c r="F2355" t="s">
        <v>249</v>
      </c>
    </row>
    <row r="2356" spans="1:6" ht="15.75">
      <c r="A2356" t="str">
        <f t="shared" si="36"/>
        <v>Villars-EpeneyMazoutCHAUFF</v>
      </c>
      <c r="B2356" s="148">
        <v>5935</v>
      </c>
      <c r="C2356" s="148" t="s">
        <v>588</v>
      </c>
      <c r="D2356" s="148" t="s">
        <v>70</v>
      </c>
      <c r="E2356" s="148">
        <v>632297.41176471021</v>
      </c>
      <c r="F2356" t="s">
        <v>249</v>
      </c>
    </row>
    <row r="2357" spans="1:6" ht="15.75">
      <c r="A2357" t="str">
        <f t="shared" si="36"/>
        <v>Villars-EpeneyPACCHAUFF</v>
      </c>
      <c r="B2357" s="148">
        <v>5935</v>
      </c>
      <c r="C2357" s="148" t="s">
        <v>588</v>
      </c>
      <c r="D2357" s="148" t="s">
        <v>69</v>
      </c>
      <c r="E2357" s="148">
        <v>52890.962962960002</v>
      </c>
      <c r="F2357" t="s">
        <v>249</v>
      </c>
    </row>
    <row r="2358" spans="1:6" ht="15.75">
      <c r="A2358" t="str">
        <f t="shared" si="36"/>
        <v>Villars-EpeneySolaireCHAUFF</v>
      </c>
      <c r="B2358" s="148">
        <v>5935</v>
      </c>
      <c r="C2358" s="148" t="s">
        <v>588</v>
      </c>
      <c r="D2358" s="148" t="s">
        <v>240</v>
      </c>
      <c r="E2358" s="148" t="e">
        <v>#N/A</v>
      </c>
      <c r="F2358" t="s">
        <v>249</v>
      </c>
    </row>
    <row r="2359" spans="1:6" ht="15.75">
      <c r="A2359" t="str">
        <f t="shared" si="36"/>
        <v>Villars-le-ComteBoisCHAUFF</v>
      </c>
      <c r="B2359" s="148">
        <v>5690</v>
      </c>
      <c r="C2359" s="148" t="s">
        <v>608</v>
      </c>
      <c r="D2359" s="148" t="s">
        <v>66</v>
      </c>
      <c r="E2359" s="148">
        <v>350351.12156862998</v>
      </c>
      <c r="F2359" t="s">
        <v>249</v>
      </c>
    </row>
    <row r="2360" spans="1:6" ht="15.75">
      <c r="A2360" t="str">
        <f t="shared" si="36"/>
        <v>Villars-le-ComteElectricitéCHAUFF</v>
      </c>
      <c r="B2360" s="148">
        <v>5690</v>
      </c>
      <c r="C2360" s="148" t="s">
        <v>608</v>
      </c>
      <c r="D2360" s="148" t="s">
        <v>97</v>
      </c>
      <c r="E2360" s="148">
        <v>196139.18279570001</v>
      </c>
      <c r="F2360" t="s">
        <v>249</v>
      </c>
    </row>
    <row r="2361" spans="1:6" ht="15.75">
      <c r="A2361" t="str">
        <f t="shared" si="36"/>
        <v>Villars-le-ComteGazCHAUFF</v>
      </c>
      <c r="B2361" s="148">
        <v>5690</v>
      </c>
      <c r="C2361" s="148" t="s">
        <v>608</v>
      </c>
      <c r="D2361" s="148" t="s">
        <v>239</v>
      </c>
      <c r="E2361" s="148">
        <v>73319.034055719996</v>
      </c>
      <c r="F2361" t="s">
        <v>249</v>
      </c>
    </row>
    <row r="2362" spans="1:6" ht="15.75">
      <c r="A2362" t="str">
        <f t="shared" si="36"/>
        <v>Villars-le-ComteMazoutCHAUFF</v>
      </c>
      <c r="B2362" s="148">
        <v>5690</v>
      </c>
      <c r="C2362" s="148" t="s">
        <v>608</v>
      </c>
      <c r="D2362" s="148" t="s">
        <v>70</v>
      </c>
      <c r="E2362" s="148">
        <v>2004857.2488687998</v>
      </c>
      <c r="F2362" t="s">
        <v>249</v>
      </c>
    </row>
    <row r="2363" spans="1:6" ht="15.75">
      <c r="A2363" t="str">
        <f t="shared" si="36"/>
        <v>Villars-le-ComteNon renseignéCHAUFF</v>
      </c>
      <c r="B2363" s="148">
        <v>5690</v>
      </c>
      <c r="C2363" s="148" t="s">
        <v>608</v>
      </c>
      <c r="D2363" s="148" t="s">
        <v>696</v>
      </c>
      <c r="E2363" s="148">
        <v>0</v>
      </c>
      <c r="F2363" t="s">
        <v>249</v>
      </c>
    </row>
    <row r="2364" spans="1:6" ht="15.75">
      <c r="A2364" t="str">
        <f t="shared" si="36"/>
        <v>Villars-le-ComtePACCHAUFF</v>
      </c>
      <c r="B2364" s="148">
        <v>5690</v>
      </c>
      <c r="C2364" s="148" t="s">
        <v>608</v>
      </c>
      <c r="D2364" s="148" t="s">
        <v>69</v>
      </c>
      <c r="E2364" s="148">
        <v>57525.481481490002</v>
      </c>
      <c r="F2364" t="s">
        <v>249</v>
      </c>
    </row>
    <row r="2365" spans="1:6" ht="15.75">
      <c r="A2365" t="str">
        <f t="shared" si="36"/>
        <v>Villars-le-ComteSolaireCHAUFF</v>
      </c>
      <c r="B2365" s="148">
        <v>5690</v>
      </c>
      <c r="C2365" s="148" t="s">
        <v>608</v>
      </c>
      <c r="D2365" s="148" t="s">
        <v>240</v>
      </c>
      <c r="E2365" s="148" t="e">
        <v>#N/A</v>
      </c>
      <c r="F2365" t="s">
        <v>249</v>
      </c>
    </row>
    <row r="2366" spans="1:6" ht="15.75">
      <c r="A2366" t="str">
        <f t="shared" si="36"/>
        <v>Villars-le-TerroirBoisCHAUFF</v>
      </c>
      <c r="B2366" s="148">
        <v>5537</v>
      </c>
      <c r="C2366" s="148" t="s">
        <v>607</v>
      </c>
      <c r="D2366" s="148" t="s">
        <v>66</v>
      </c>
      <c r="E2366" s="148">
        <v>1861898.7607842898</v>
      </c>
      <c r="F2366" t="s">
        <v>249</v>
      </c>
    </row>
    <row r="2367" spans="1:6" ht="15.75">
      <c r="A2367" t="str">
        <f t="shared" si="36"/>
        <v>Villars-le-TerroirElectricitéCHAUFF</v>
      </c>
      <c r="B2367" s="148">
        <v>5537</v>
      </c>
      <c r="C2367" s="148" t="s">
        <v>607</v>
      </c>
      <c r="D2367" s="148" t="s">
        <v>97</v>
      </c>
      <c r="E2367" s="148">
        <v>1410795.6774193698</v>
      </c>
      <c r="F2367" t="s">
        <v>249</v>
      </c>
    </row>
    <row r="2368" spans="1:6" ht="15.75">
      <c r="A2368" t="str">
        <f t="shared" si="36"/>
        <v>Villars-le-TerroirGazCHAUFF</v>
      </c>
      <c r="B2368" s="148">
        <v>5537</v>
      </c>
      <c r="C2368" s="148" t="s">
        <v>607</v>
      </c>
      <c r="D2368" s="148" t="s">
        <v>239</v>
      </c>
      <c r="E2368" s="148">
        <v>3683009.0941176298</v>
      </c>
      <c r="F2368" t="s">
        <v>249</v>
      </c>
    </row>
    <row r="2369" spans="1:6" ht="15.75">
      <c r="A2369" t="str">
        <f t="shared" si="36"/>
        <v>Villars-le-TerroirMazoutCHAUFF</v>
      </c>
      <c r="B2369" s="148">
        <v>5537</v>
      </c>
      <c r="C2369" s="148" t="s">
        <v>607</v>
      </c>
      <c r="D2369" s="148" t="s">
        <v>70</v>
      </c>
      <c r="E2369" s="148">
        <v>3630898.6488017105</v>
      </c>
      <c r="F2369" t="s">
        <v>249</v>
      </c>
    </row>
    <row r="2370" spans="1:6" ht="15.75">
      <c r="A2370" t="str">
        <f t="shared" si="36"/>
        <v>Villars-le-TerroirNon renseignéCHAUFF</v>
      </c>
      <c r="B2370" s="148">
        <v>5537</v>
      </c>
      <c r="C2370" s="148" t="s">
        <v>607</v>
      </c>
      <c r="D2370" s="148" t="s">
        <v>696</v>
      </c>
      <c r="E2370" s="148">
        <v>0</v>
      </c>
      <c r="F2370" t="s">
        <v>249</v>
      </c>
    </row>
    <row r="2371" spans="1:6" ht="15.75">
      <c r="A2371" t="str">
        <f t="shared" si="36"/>
        <v>Villars-le-TerroirPACCHAUFF</v>
      </c>
      <c r="B2371" s="148">
        <v>5537</v>
      </c>
      <c r="C2371" s="148" t="s">
        <v>607</v>
      </c>
      <c r="D2371" s="148" t="s">
        <v>69</v>
      </c>
      <c r="E2371" s="148">
        <v>386289.02527765994</v>
      </c>
      <c r="F2371" t="s">
        <v>249</v>
      </c>
    </row>
    <row r="2372" spans="1:6" ht="15.75">
      <c r="A2372" t="str">
        <f t="shared" si="36"/>
        <v>Villars-le-TerroirSolaireCHAUFF</v>
      </c>
      <c r="B2372" s="148">
        <v>5537</v>
      </c>
      <c r="C2372" s="148" t="s">
        <v>607</v>
      </c>
      <c r="D2372" s="148" t="s">
        <v>240</v>
      </c>
      <c r="E2372" s="148">
        <v>10944</v>
      </c>
      <c r="F2372" t="s">
        <v>249</v>
      </c>
    </row>
    <row r="2373" spans="1:6" ht="15.75">
      <c r="A2373" t="str">
        <f t="shared" si="36"/>
        <v>Villars-le-TerroirAutre agent énergétiqueCHAUFF</v>
      </c>
      <c r="B2373" s="148">
        <v>5537</v>
      </c>
      <c r="C2373" s="148" t="s">
        <v>607</v>
      </c>
      <c r="D2373" s="148" t="s">
        <v>245</v>
      </c>
      <c r="E2373" s="148" t="e">
        <v>#N/A</v>
      </c>
      <c r="F2373" t="s">
        <v>249</v>
      </c>
    </row>
    <row r="2374" spans="1:6" ht="15.75">
      <c r="A2374" t="str">
        <f t="shared" si="36"/>
        <v>Villars-Sainte-CroixAutre agent énergétiqueCHAUFF</v>
      </c>
      <c r="B2374" s="148">
        <v>5651</v>
      </c>
      <c r="C2374" s="148" t="s">
        <v>589</v>
      </c>
      <c r="D2374" s="148" t="s">
        <v>245</v>
      </c>
      <c r="E2374" s="148">
        <v>45402.352941179997</v>
      </c>
      <c r="F2374" t="s">
        <v>249</v>
      </c>
    </row>
    <row r="2375" spans="1:6" ht="15.75">
      <c r="A2375" t="str">
        <f t="shared" si="36"/>
        <v>Villars-Sainte-CroixBoisCHAUFF</v>
      </c>
      <c r="B2375" s="148">
        <v>5651</v>
      </c>
      <c r="C2375" s="148" t="s">
        <v>589</v>
      </c>
      <c r="D2375" s="148" t="s">
        <v>66</v>
      </c>
      <c r="E2375" s="148">
        <v>327467.34117645997</v>
      </c>
      <c r="F2375" t="s">
        <v>249</v>
      </c>
    </row>
    <row r="2376" spans="1:6" ht="15.75">
      <c r="A2376" t="str">
        <f t="shared" si="36"/>
        <v>Villars-Sainte-CroixElectricitéCHAUFF</v>
      </c>
      <c r="B2376" s="148">
        <v>5651</v>
      </c>
      <c r="C2376" s="148" t="s">
        <v>589</v>
      </c>
      <c r="D2376" s="148" t="s">
        <v>97</v>
      </c>
      <c r="E2376" s="148">
        <v>1300839.1397849699</v>
      </c>
      <c r="F2376" t="s">
        <v>249</v>
      </c>
    </row>
    <row r="2377" spans="1:6" ht="15.75">
      <c r="A2377" t="str">
        <f t="shared" si="36"/>
        <v>Villars-Sainte-CroixGazCHAUFF</v>
      </c>
      <c r="B2377" s="148">
        <v>5651</v>
      </c>
      <c r="C2377" s="148" t="s">
        <v>589</v>
      </c>
      <c r="D2377" s="148" t="s">
        <v>239</v>
      </c>
      <c r="E2377" s="148">
        <v>3850650.8730650102</v>
      </c>
      <c r="F2377" t="s">
        <v>249</v>
      </c>
    </row>
    <row r="2378" spans="1:6" ht="15.75">
      <c r="A2378" t="str">
        <f t="shared" si="36"/>
        <v>Villars-Sainte-CroixMazoutCHAUFF</v>
      </c>
      <c r="B2378" s="148">
        <v>5651</v>
      </c>
      <c r="C2378" s="148" t="s">
        <v>589</v>
      </c>
      <c r="D2378" s="148" t="s">
        <v>70</v>
      </c>
      <c r="E2378" s="148">
        <v>3730012.4705882194</v>
      </c>
      <c r="F2378" t="s">
        <v>249</v>
      </c>
    </row>
    <row r="2379" spans="1:6" ht="15.75">
      <c r="A2379" t="str">
        <f t="shared" ref="A2379:A2442" si="37">_xlfn.CONCAT(C2379,D2379,F2379)</f>
        <v>Villars-Sainte-CroixNon renseignéCHAUFF</v>
      </c>
      <c r="B2379" s="148">
        <v>5651</v>
      </c>
      <c r="C2379" s="148" t="s">
        <v>589</v>
      </c>
      <c r="D2379" s="148" t="s">
        <v>696</v>
      </c>
      <c r="E2379" s="148">
        <v>0</v>
      </c>
      <c r="F2379" t="s">
        <v>249</v>
      </c>
    </row>
    <row r="2380" spans="1:6" ht="15.75">
      <c r="A2380" t="str">
        <f t="shared" si="37"/>
        <v>Villars-Sainte-CroixPACCHAUFF</v>
      </c>
      <c r="B2380" s="148">
        <v>5651</v>
      </c>
      <c r="C2380" s="148" t="s">
        <v>589</v>
      </c>
      <c r="D2380" s="148" t="s">
        <v>69</v>
      </c>
      <c r="E2380" s="148">
        <v>363113.76489533996</v>
      </c>
      <c r="F2380" t="s">
        <v>249</v>
      </c>
    </row>
    <row r="2381" spans="1:6" ht="15.75">
      <c r="A2381" t="str">
        <f t="shared" si="37"/>
        <v>Villars-Sainte-CroixSolaireCHAUFF</v>
      </c>
      <c r="B2381" s="148">
        <v>5651</v>
      </c>
      <c r="C2381" s="148" t="s">
        <v>589</v>
      </c>
      <c r="D2381" s="148" t="s">
        <v>240</v>
      </c>
      <c r="E2381" s="148" t="e">
        <v>#N/A</v>
      </c>
      <c r="F2381" t="s">
        <v>249</v>
      </c>
    </row>
    <row r="2382" spans="1:6" ht="15.75">
      <c r="A2382" t="str">
        <f t="shared" si="37"/>
        <v>Villars-sous-YensAutre agent énergétiqueCHAUFF</v>
      </c>
      <c r="B2382" s="148">
        <v>5652</v>
      </c>
      <c r="C2382" s="148" t="s">
        <v>606</v>
      </c>
      <c r="D2382" s="148" t="s">
        <v>245</v>
      </c>
      <c r="E2382" s="148">
        <v>6584.4705882400003</v>
      </c>
      <c r="F2382" t="s">
        <v>249</v>
      </c>
    </row>
    <row r="2383" spans="1:6" ht="15.75">
      <c r="A2383" t="str">
        <f t="shared" si="37"/>
        <v>Villars-sous-YensBoisCHAUFF</v>
      </c>
      <c r="B2383" s="148">
        <v>5652</v>
      </c>
      <c r="C2383" s="148" t="s">
        <v>606</v>
      </c>
      <c r="D2383" s="148" t="s">
        <v>66</v>
      </c>
      <c r="E2383" s="148">
        <v>983399.70021506003</v>
      </c>
      <c r="F2383" t="s">
        <v>249</v>
      </c>
    </row>
    <row r="2384" spans="1:6" ht="15.75">
      <c r="A2384" t="str">
        <f t="shared" si="37"/>
        <v>Villars-sous-YensElectricitéCHAUFF</v>
      </c>
      <c r="B2384" s="148">
        <v>5652</v>
      </c>
      <c r="C2384" s="148" t="s">
        <v>606</v>
      </c>
      <c r="D2384" s="148" t="s">
        <v>97</v>
      </c>
      <c r="E2384" s="148">
        <v>522383.44086020999</v>
      </c>
      <c r="F2384" t="s">
        <v>249</v>
      </c>
    </row>
    <row r="2385" spans="1:6" ht="15.75">
      <c r="A2385" t="str">
        <f t="shared" si="37"/>
        <v>Villars-sous-YensGazCHAUFF</v>
      </c>
      <c r="B2385" s="148">
        <v>5652</v>
      </c>
      <c r="C2385" s="148" t="s">
        <v>606</v>
      </c>
      <c r="D2385" s="148" t="s">
        <v>239</v>
      </c>
      <c r="E2385" s="148">
        <v>1770702.9374612605</v>
      </c>
      <c r="F2385" t="s">
        <v>249</v>
      </c>
    </row>
    <row r="2386" spans="1:6" ht="15.75">
      <c r="A2386" t="str">
        <f t="shared" si="37"/>
        <v>Villars-sous-YensMazoutCHAUFF</v>
      </c>
      <c r="B2386" s="148">
        <v>5652</v>
      </c>
      <c r="C2386" s="148" t="s">
        <v>606</v>
      </c>
      <c r="D2386" s="148" t="s">
        <v>70</v>
      </c>
      <c r="E2386" s="148">
        <v>2432735.6235293602</v>
      </c>
      <c r="F2386" t="s">
        <v>249</v>
      </c>
    </row>
    <row r="2387" spans="1:6" ht="15.75">
      <c r="A2387" t="str">
        <f t="shared" si="37"/>
        <v>Villars-sous-YensNon renseignéCHAUFF</v>
      </c>
      <c r="B2387" s="148">
        <v>5652</v>
      </c>
      <c r="C2387" s="148" t="s">
        <v>606</v>
      </c>
      <c r="D2387" s="148" t="s">
        <v>696</v>
      </c>
      <c r="E2387" s="148">
        <v>0</v>
      </c>
      <c r="F2387" t="s">
        <v>249</v>
      </c>
    </row>
    <row r="2388" spans="1:6" ht="15.75">
      <c r="A2388" t="str">
        <f t="shared" si="37"/>
        <v>Villars-sous-YensPACCHAUFF</v>
      </c>
      <c r="B2388" s="148">
        <v>5652</v>
      </c>
      <c r="C2388" s="148" t="s">
        <v>606</v>
      </c>
      <c r="D2388" s="148" t="s">
        <v>69</v>
      </c>
      <c r="E2388" s="148">
        <v>45420.962962969999</v>
      </c>
      <c r="F2388" t="s">
        <v>249</v>
      </c>
    </row>
    <row r="2389" spans="1:6" ht="15.75">
      <c r="A2389" t="str">
        <f t="shared" si="37"/>
        <v>Villars-sous-YensSolaireCHAUFF</v>
      </c>
      <c r="B2389" s="148">
        <v>5652</v>
      </c>
      <c r="C2389" s="148" t="s">
        <v>606</v>
      </c>
      <c r="D2389" s="148" t="s">
        <v>240</v>
      </c>
      <c r="E2389" s="148" t="e">
        <v>#N/A</v>
      </c>
      <c r="F2389" t="s">
        <v>249</v>
      </c>
    </row>
    <row r="2390" spans="1:6" ht="15.75">
      <c r="A2390" t="str">
        <f t="shared" si="37"/>
        <v>VillarzelAutre agent énergétiqueCHAUFF</v>
      </c>
      <c r="B2390" s="148">
        <v>5830</v>
      </c>
      <c r="C2390" s="148" t="s">
        <v>590</v>
      </c>
      <c r="D2390" s="148" t="s">
        <v>245</v>
      </c>
      <c r="E2390" s="148">
        <v>108254.11764705001</v>
      </c>
      <c r="F2390" t="s">
        <v>249</v>
      </c>
    </row>
    <row r="2391" spans="1:6" ht="15.75">
      <c r="A2391" t="str">
        <f t="shared" si="37"/>
        <v>VillarzelBoisCHAUFF</v>
      </c>
      <c r="B2391" s="148">
        <v>5830</v>
      </c>
      <c r="C2391" s="148" t="s">
        <v>590</v>
      </c>
      <c r="D2391" s="148" t="s">
        <v>66</v>
      </c>
      <c r="E2391" s="148">
        <v>1001305.89803921</v>
      </c>
      <c r="F2391" t="s">
        <v>249</v>
      </c>
    </row>
    <row r="2392" spans="1:6" ht="15.75">
      <c r="A2392" t="str">
        <f t="shared" si="37"/>
        <v>VillarzelElectricitéCHAUFF</v>
      </c>
      <c r="B2392" s="148">
        <v>5830</v>
      </c>
      <c r="C2392" s="148" t="s">
        <v>590</v>
      </c>
      <c r="D2392" s="148" t="s">
        <v>97</v>
      </c>
      <c r="E2392" s="148">
        <v>690716.98924730998</v>
      </c>
      <c r="F2392" t="s">
        <v>249</v>
      </c>
    </row>
    <row r="2393" spans="1:6" ht="15.75">
      <c r="A2393" t="str">
        <f t="shared" si="37"/>
        <v>VillarzelGazCHAUFF</v>
      </c>
      <c r="B2393" s="148">
        <v>5830</v>
      </c>
      <c r="C2393" s="148" t="s">
        <v>590</v>
      </c>
      <c r="D2393" s="148" t="s">
        <v>239</v>
      </c>
      <c r="E2393" s="148">
        <v>886000.16594425996</v>
      </c>
      <c r="F2393" t="s">
        <v>249</v>
      </c>
    </row>
    <row r="2394" spans="1:6" ht="15.75">
      <c r="A2394" t="str">
        <f t="shared" si="37"/>
        <v>VillarzelMazoutCHAUFF</v>
      </c>
      <c r="B2394" s="148">
        <v>5830</v>
      </c>
      <c r="C2394" s="148" t="s">
        <v>590</v>
      </c>
      <c r="D2394" s="148" t="s">
        <v>70</v>
      </c>
      <c r="E2394" s="148">
        <v>5426146.8235294083</v>
      </c>
      <c r="F2394" t="s">
        <v>249</v>
      </c>
    </row>
    <row r="2395" spans="1:6" ht="15.75">
      <c r="A2395" t="str">
        <f t="shared" si="37"/>
        <v>VillarzelNon renseignéCHAUFF</v>
      </c>
      <c r="B2395" s="148">
        <v>5830</v>
      </c>
      <c r="C2395" s="148" t="s">
        <v>590</v>
      </c>
      <c r="D2395" s="148" t="s">
        <v>696</v>
      </c>
      <c r="E2395" s="148">
        <v>0</v>
      </c>
      <c r="F2395" t="s">
        <v>249</v>
      </c>
    </row>
    <row r="2396" spans="1:6" ht="15.75">
      <c r="A2396" t="str">
        <f t="shared" si="37"/>
        <v>VillarzelPACCHAUFF</v>
      </c>
      <c r="B2396" s="148">
        <v>5830</v>
      </c>
      <c r="C2396" s="148" t="s">
        <v>590</v>
      </c>
      <c r="D2396" s="148" t="s">
        <v>69</v>
      </c>
      <c r="E2396" s="148">
        <v>112659.36876007999</v>
      </c>
      <c r="F2396" t="s">
        <v>249</v>
      </c>
    </row>
    <row r="2397" spans="1:6" ht="15.75">
      <c r="A2397" t="str">
        <f t="shared" si="37"/>
        <v>VillarzelSolaireCHAUFF</v>
      </c>
      <c r="B2397" s="148">
        <v>5830</v>
      </c>
      <c r="C2397" s="148" t="s">
        <v>590</v>
      </c>
      <c r="D2397" s="148" t="s">
        <v>240</v>
      </c>
      <c r="E2397" s="148" t="e">
        <v>#N/A</v>
      </c>
      <c r="F2397" t="s">
        <v>249</v>
      </c>
    </row>
    <row r="2398" spans="1:6" ht="15.75">
      <c r="A2398" t="str">
        <f t="shared" si="37"/>
        <v>Villeneuve (VD)Autre agent énergétiqueCHAUFF</v>
      </c>
      <c r="B2398" s="148">
        <v>5414</v>
      </c>
      <c r="C2398" s="148" t="s">
        <v>605</v>
      </c>
      <c r="D2398" s="148" t="s">
        <v>245</v>
      </c>
      <c r="E2398" s="148">
        <v>19165.88235294</v>
      </c>
      <c r="F2398" t="s">
        <v>249</v>
      </c>
    </row>
    <row r="2399" spans="1:6" ht="15.75">
      <c r="A2399" t="str">
        <f t="shared" si="37"/>
        <v>Villeneuve (VD)BoisCHAUFF</v>
      </c>
      <c r="B2399" s="148">
        <v>5414</v>
      </c>
      <c r="C2399" s="148" t="s">
        <v>605</v>
      </c>
      <c r="D2399" s="148" t="s">
        <v>66</v>
      </c>
      <c r="E2399" s="148">
        <v>1196881.5152941202</v>
      </c>
      <c r="F2399" t="s">
        <v>249</v>
      </c>
    </row>
    <row r="2400" spans="1:6" ht="15.75">
      <c r="A2400" t="str">
        <f t="shared" si="37"/>
        <v>Villeneuve (VD)CADCHAUFF</v>
      </c>
      <c r="B2400" s="148">
        <v>5414</v>
      </c>
      <c r="C2400" s="148" t="s">
        <v>605</v>
      </c>
      <c r="D2400" s="148" t="s">
        <v>242</v>
      </c>
      <c r="E2400" s="148">
        <v>2783505.7935483903</v>
      </c>
      <c r="F2400" t="s">
        <v>249</v>
      </c>
    </row>
    <row r="2401" spans="1:6" ht="15.75">
      <c r="A2401" t="str">
        <f t="shared" si="37"/>
        <v>Villeneuve (VD)ElectricitéCHAUFF</v>
      </c>
      <c r="B2401" s="148">
        <v>5414</v>
      </c>
      <c r="C2401" s="148" t="s">
        <v>605</v>
      </c>
      <c r="D2401" s="148" t="s">
        <v>97</v>
      </c>
      <c r="E2401" s="148">
        <v>444184.08602148003</v>
      </c>
      <c r="F2401" t="s">
        <v>249</v>
      </c>
    </row>
    <row r="2402" spans="1:6" ht="15.75">
      <c r="A2402" t="str">
        <f t="shared" si="37"/>
        <v>Villeneuve (VD)GazCHAUFF</v>
      </c>
      <c r="B2402" s="148">
        <v>5414</v>
      </c>
      <c r="C2402" s="148" t="s">
        <v>605</v>
      </c>
      <c r="D2402" s="148" t="s">
        <v>239</v>
      </c>
      <c r="E2402" s="148">
        <v>30918403.938080467</v>
      </c>
      <c r="F2402" t="s">
        <v>249</v>
      </c>
    </row>
    <row r="2403" spans="1:6" ht="15.75">
      <c r="A2403" t="str">
        <f t="shared" si="37"/>
        <v>Villeneuve (VD)MazoutCHAUFF</v>
      </c>
      <c r="B2403" s="148">
        <v>5414</v>
      </c>
      <c r="C2403" s="148" t="s">
        <v>605</v>
      </c>
      <c r="D2403" s="148" t="s">
        <v>70</v>
      </c>
      <c r="E2403" s="148">
        <v>13715044.717647132</v>
      </c>
      <c r="F2403" t="s">
        <v>249</v>
      </c>
    </row>
    <row r="2404" spans="1:6" ht="15.75">
      <c r="A2404" t="str">
        <f t="shared" si="37"/>
        <v>Villeneuve (VD)Non renseignéCHAUFF</v>
      </c>
      <c r="B2404" s="148">
        <v>5414</v>
      </c>
      <c r="C2404" s="148" t="s">
        <v>605</v>
      </c>
      <c r="D2404" s="148" t="s">
        <v>696</v>
      </c>
      <c r="E2404" s="148">
        <v>0</v>
      </c>
      <c r="F2404" t="s">
        <v>249</v>
      </c>
    </row>
    <row r="2405" spans="1:6" ht="15.75">
      <c r="A2405" t="str">
        <f t="shared" si="37"/>
        <v>Villeneuve (VD)PACCHAUFF</v>
      </c>
      <c r="B2405" s="148">
        <v>5414</v>
      </c>
      <c r="C2405" s="148" t="s">
        <v>605</v>
      </c>
      <c r="D2405" s="148" t="s">
        <v>69</v>
      </c>
      <c r="E2405" s="148">
        <v>265742.18325283</v>
      </c>
      <c r="F2405" t="s">
        <v>249</v>
      </c>
    </row>
    <row r="2406" spans="1:6" ht="15.75">
      <c r="A2406" t="str">
        <f t="shared" si="37"/>
        <v>Villeneuve (VD)SolaireCHAUFF</v>
      </c>
      <c r="B2406" s="148">
        <v>5414</v>
      </c>
      <c r="C2406" s="148" t="s">
        <v>605</v>
      </c>
      <c r="D2406" s="148" t="s">
        <v>240</v>
      </c>
      <c r="E2406" s="148" t="e">
        <v>#N/A</v>
      </c>
      <c r="F2406" t="s">
        <v>249</v>
      </c>
    </row>
    <row r="2407" spans="1:6" ht="15.75">
      <c r="A2407" t="str">
        <f t="shared" si="37"/>
        <v>VinzelCADCHAUFF</v>
      </c>
      <c r="B2407" s="148">
        <v>5863</v>
      </c>
      <c r="C2407" s="148" t="s">
        <v>591</v>
      </c>
      <c r="D2407" s="148" t="s">
        <v>242</v>
      </c>
      <c r="E2407" s="148">
        <v>3552</v>
      </c>
      <c r="F2407" t="s">
        <v>249</v>
      </c>
    </row>
    <row r="2408" spans="1:6" ht="15.75">
      <c r="A2408" t="str">
        <f t="shared" si="37"/>
        <v>VinzelElectricitéCHAUFF</v>
      </c>
      <c r="B2408" s="148">
        <v>5863</v>
      </c>
      <c r="C2408" s="148" t="s">
        <v>591</v>
      </c>
      <c r="D2408" s="148" t="s">
        <v>97</v>
      </c>
      <c r="E2408" s="148">
        <v>35303.225806449998</v>
      </c>
      <c r="F2408" t="s">
        <v>249</v>
      </c>
    </row>
    <row r="2409" spans="1:6" ht="15.75">
      <c r="A2409" t="str">
        <f t="shared" si="37"/>
        <v>VinzelGazCHAUFF</v>
      </c>
      <c r="B2409" s="148">
        <v>5863</v>
      </c>
      <c r="C2409" s="148" t="s">
        <v>591</v>
      </c>
      <c r="D2409" s="148" t="s">
        <v>239</v>
      </c>
      <c r="E2409" s="148">
        <v>2582481.5442724498</v>
      </c>
      <c r="F2409" t="s">
        <v>249</v>
      </c>
    </row>
    <row r="2410" spans="1:6" ht="15.75">
      <c r="A2410" t="str">
        <f t="shared" si="37"/>
        <v>VinzelMazoutCHAUFF</v>
      </c>
      <c r="B2410" s="148">
        <v>5863</v>
      </c>
      <c r="C2410" s="148" t="s">
        <v>591</v>
      </c>
      <c r="D2410" s="148" t="s">
        <v>70</v>
      </c>
      <c r="E2410" s="148">
        <v>3358692.4117647004</v>
      </c>
      <c r="F2410" t="s">
        <v>249</v>
      </c>
    </row>
    <row r="2411" spans="1:6" ht="15.75">
      <c r="A2411" t="str">
        <f t="shared" si="37"/>
        <v>VinzelNon renseignéCHAUFF</v>
      </c>
      <c r="B2411" s="148">
        <v>5863</v>
      </c>
      <c r="C2411" s="148" t="s">
        <v>591</v>
      </c>
      <c r="D2411" s="148" t="s">
        <v>696</v>
      </c>
      <c r="E2411" s="148">
        <v>0</v>
      </c>
      <c r="F2411" t="s">
        <v>249</v>
      </c>
    </row>
    <row r="2412" spans="1:6" ht="15.75">
      <c r="A2412" t="str">
        <f t="shared" si="37"/>
        <v>VinzelPACCHAUFF</v>
      </c>
      <c r="B2412" s="148">
        <v>5863</v>
      </c>
      <c r="C2412" s="148" t="s">
        <v>591</v>
      </c>
      <c r="D2412" s="148" t="s">
        <v>69</v>
      </c>
      <c r="E2412" s="148">
        <v>16559.703703709998</v>
      </c>
      <c r="F2412" t="s">
        <v>249</v>
      </c>
    </row>
    <row r="2413" spans="1:6" ht="15.75">
      <c r="A2413" t="str">
        <f t="shared" si="37"/>
        <v>VinzelSolaireCHAUFF</v>
      </c>
      <c r="B2413" s="148">
        <v>5863</v>
      </c>
      <c r="C2413" s="148" t="s">
        <v>591</v>
      </c>
      <c r="D2413" s="148" t="s">
        <v>240</v>
      </c>
      <c r="E2413" s="148" t="e">
        <v>#N/A</v>
      </c>
      <c r="F2413" t="s">
        <v>249</v>
      </c>
    </row>
    <row r="2414" spans="1:6" ht="15.75">
      <c r="A2414" t="str">
        <f t="shared" si="37"/>
        <v>VuarrensBoisCHAUFF</v>
      </c>
      <c r="B2414" s="148">
        <v>5539</v>
      </c>
      <c r="C2414" s="148" t="s">
        <v>592</v>
      </c>
      <c r="D2414" s="148" t="s">
        <v>66</v>
      </c>
      <c r="E2414" s="148">
        <v>1593779.12941177</v>
      </c>
      <c r="F2414" t="s">
        <v>249</v>
      </c>
    </row>
    <row r="2415" spans="1:6" ht="15.75">
      <c r="A2415" t="str">
        <f t="shared" si="37"/>
        <v>VuarrensElectricitéCHAUFF</v>
      </c>
      <c r="B2415" s="148">
        <v>5539</v>
      </c>
      <c r="C2415" s="148" t="s">
        <v>592</v>
      </c>
      <c r="D2415" s="148" t="s">
        <v>97</v>
      </c>
      <c r="E2415" s="148">
        <v>548469.67741936003</v>
      </c>
      <c r="F2415" t="s">
        <v>249</v>
      </c>
    </row>
    <row r="2416" spans="1:6" ht="15.75">
      <c r="A2416" t="str">
        <f t="shared" si="37"/>
        <v>VuarrensGazCHAUFF</v>
      </c>
      <c r="B2416" s="148">
        <v>5539</v>
      </c>
      <c r="C2416" s="148" t="s">
        <v>592</v>
      </c>
      <c r="D2416" s="148" t="s">
        <v>239</v>
      </c>
      <c r="E2416" s="148">
        <v>4467278.4538699705</v>
      </c>
      <c r="F2416" t="s">
        <v>249</v>
      </c>
    </row>
    <row r="2417" spans="1:6" ht="15.75">
      <c r="A2417" t="str">
        <f t="shared" si="37"/>
        <v>VuarrensMazoutCHAUFF</v>
      </c>
      <c r="B2417" s="148">
        <v>5539</v>
      </c>
      <c r="C2417" s="148" t="s">
        <v>592</v>
      </c>
      <c r="D2417" s="148" t="s">
        <v>70</v>
      </c>
      <c r="E2417" s="148">
        <v>4960274.5386997508</v>
      </c>
      <c r="F2417" t="s">
        <v>249</v>
      </c>
    </row>
    <row r="2418" spans="1:6" ht="15.75">
      <c r="A2418" t="str">
        <f t="shared" si="37"/>
        <v>VuarrensNon renseignéCHAUFF</v>
      </c>
      <c r="B2418" s="148">
        <v>5539</v>
      </c>
      <c r="C2418" s="148" t="s">
        <v>592</v>
      </c>
      <c r="D2418" s="148" t="s">
        <v>696</v>
      </c>
      <c r="E2418" s="148">
        <v>0</v>
      </c>
      <c r="F2418" t="s">
        <v>249</v>
      </c>
    </row>
    <row r="2419" spans="1:6" ht="15.75">
      <c r="A2419" t="str">
        <f t="shared" si="37"/>
        <v>VuarrensPACCHAUFF</v>
      </c>
      <c r="B2419" s="148">
        <v>5539</v>
      </c>
      <c r="C2419" s="148" t="s">
        <v>592</v>
      </c>
      <c r="D2419" s="148" t="s">
        <v>69</v>
      </c>
      <c r="E2419" s="148">
        <v>228147.26731075998</v>
      </c>
      <c r="F2419" t="s">
        <v>249</v>
      </c>
    </row>
    <row r="2420" spans="1:6" ht="15.75">
      <c r="A2420" t="str">
        <f t="shared" si="37"/>
        <v>VuarrensSolaireCHAUFF</v>
      </c>
      <c r="B2420" s="148">
        <v>5539</v>
      </c>
      <c r="C2420" s="148" t="s">
        <v>592</v>
      </c>
      <c r="D2420" s="148" t="s">
        <v>240</v>
      </c>
      <c r="E2420" s="148">
        <v>34484</v>
      </c>
      <c r="F2420" t="s">
        <v>249</v>
      </c>
    </row>
    <row r="2421" spans="1:6" ht="15.75">
      <c r="A2421" t="str">
        <f t="shared" si="37"/>
        <v>VucherensAutre agent énergétiqueCHAUFF</v>
      </c>
      <c r="B2421" s="148">
        <v>5692</v>
      </c>
      <c r="C2421" s="148" t="s">
        <v>593</v>
      </c>
      <c r="D2421" s="148" t="s">
        <v>245</v>
      </c>
      <c r="E2421" s="148">
        <v>6223.0588235300002</v>
      </c>
      <c r="F2421" t="s">
        <v>249</v>
      </c>
    </row>
    <row r="2422" spans="1:6" ht="15.75">
      <c r="A2422" t="str">
        <f t="shared" si="37"/>
        <v>VucherensBoisCHAUFF</v>
      </c>
      <c r="B2422" s="148">
        <v>5692</v>
      </c>
      <c r="C2422" s="148" t="s">
        <v>593</v>
      </c>
      <c r="D2422" s="148" t="s">
        <v>66</v>
      </c>
      <c r="E2422" s="148">
        <v>665516.07843138999</v>
      </c>
      <c r="F2422" t="s">
        <v>249</v>
      </c>
    </row>
    <row r="2423" spans="1:6" ht="15.75">
      <c r="A2423" t="str">
        <f t="shared" si="37"/>
        <v>VucherensCADCHAUFF</v>
      </c>
      <c r="B2423" s="148">
        <v>5692</v>
      </c>
      <c r="C2423" s="148" t="s">
        <v>593</v>
      </c>
      <c r="D2423" s="148" t="s">
        <v>242</v>
      </c>
      <c r="E2423" s="148">
        <v>39440</v>
      </c>
      <c r="F2423" t="s">
        <v>249</v>
      </c>
    </row>
    <row r="2424" spans="1:6" ht="15.75">
      <c r="A2424" t="str">
        <f t="shared" si="37"/>
        <v>VucherensCharbonCHAUFF</v>
      </c>
      <c r="B2424" s="148">
        <v>5692</v>
      </c>
      <c r="C2424" s="148" t="s">
        <v>593</v>
      </c>
      <c r="D2424" s="148" t="s">
        <v>695</v>
      </c>
      <c r="E2424" s="148" t="e">
        <v>#N/A</v>
      </c>
      <c r="F2424" t="s">
        <v>249</v>
      </c>
    </row>
    <row r="2425" spans="1:6" ht="15.75">
      <c r="A2425" t="str">
        <f t="shared" si="37"/>
        <v>VucherensElectricitéCHAUFF</v>
      </c>
      <c r="B2425" s="148">
        <v>5692</v>
      </c>
      <c r="C2425" s="148" t="s">
        <v>593</v>
      </c>
      <c r="D2425" s="148" t="s">
        <v>97</v>
      </c>
      <c r="E2425" s="148">
        <v>596421.93548387999</v>
      </c>
      <c r="F2425" t="s">
        <v>249</v>
      </c>
    </row>
    <row r="2426" spans="1:6" ht="15.75">
      <c r="A2426" t="str">
        <f t="shared" si="37"/>
        <v>VucherensGazCHAUFF</v>
      </c>
      <c r="B2426" s="148">
        <v>5692</v>
      </c>
      <c r="C2426" s="148" t="s">
        <v>593</v>
      </c>
      <c r="D2426" s="148" t="s">
        <v>239</v>
      </c>
      <c r="E2426" s="148">
        <v>1084907.8204334499</v>
      </c>
      <c r="F2426" t="s">
        <v>249</v>
      </c>
    </row>
    <row r="2427" spans="1:6" ht="15.75">
      <c r="A2427" t="str">
        <f t="shared" si="37"/>
        <v>VucherensMazoutCHAUFF</v>
      </c>
      <c r="B2427" s="148">
        <v>5692</v>
      </c>
      <c r="C2427" s="148" t="s">
        <v>593</v>
      </c>
      <c r="D2427" s="148" t="s">
        <v>70</v>
      </c>
      <c r="E2427" s="148">
        <v>3924065.8823529524</v>
      </c>
      <c r="F2427" t="s">
        <v>249</v>
      </c>
    </row>
    <row r="2428" spans="1:6" ht="15.75">
      <c r="A2428" t="str">
        <f t="shared" si="37"/>
        <v>VucherensNon renseignéCHAUFF</v>
      </c>
      <c r="B2428" s="148">
        <v>5692</v>
      </c>
      <c r="C2428" s="148" t="s">
        <v>593</v>
      </c>
      <c r="D2428" s="148" t="s">
        <v>696</v>
      </c>
      <c r="E2428" s="148">
        <v>0</v>
      </c>
      <c r="F2428" t="s">
        <v>249</v>
      </c>
    </row>
    <row r="2429" spans="1:6" ht="15.75">
      <c r="A2429" t="str">
        <f t="shared" si="37"/>
        <v>VucherensPACCHAUFF</v>
      </c>
      <c r="B2429" s="148">
        <v>5692</v>
      </c>
      <c r="C2429" s="148" t="s">
        <v>593</v>
      </c>
      <c r="D2429" s="148" t="s">
        <v>69</v>
      </c>
      <c r="E2429" s="148">
        <v>468221.19904490991</v>
      </c>
      <c r="F2429" t="s">
        <v>249</v>
      </c>
    </row>
    <row r="2430" spans="1:6" ht="15.75">
      <c r="A2430" t="str">
        <f t="shared" si="37"/>
        <v>VucherensSolaireCHAUFF</v>
      </c>
      <c r="B2430" s="148">
        <v>5692</v>
      </c>
      <c r="C2430" s="148" t="s">
        <v>593</v>
      </c>
      <c r="D2430" s="148" t="s">
        <v>240</v>
      </c>
      <c r="E2430" s="148">
        <v>50760</v>
      </c>
      <c r="F2430" t="s">
        <v>249</v>
      </c>
    </row>
    <row r="2431" spans="1:6" ht="15.75">
      <c r="A2431" t="str">
        <f t="shared" si="37"/>
        <v>Vufflens-la-VilleAutre agent énergétiqueCHAUFF</v>
      </c>
      <c r="B2431" s="148">
        <v>5503</v>
      </c>
      <c r="C2431" s="148" t="s">
        <v>604</v>
      </c>
      <c r="D2431" s="148" t="s">
        <v>245</v>
      </c>
      <c r="E2431" s="148">
        <v>6043.5294117599997</v>
      </c>
      <c r="F2431" t="s">
        <v>249</v>
      </c>
    </row>
    <row r="2432" spans="1:6" ht="15.75">
      <c r="A2432" t="str">
        <f t="shared" si="37"/>
        <v>Vufflens-la-VilleBoisCHAUFF</v>
      </c>
      <c r="B2432" s="148">
        <v>5503</v>
      </c>
      <c r="C2432" s="148" t="s">
        <v>604</v>
      </c>
      <c r="D2432" s="148" t="s">
        <v>66</v>
      </c>
      <c r="E2432" s="148">
        <v>1669912.9976470498</v>
      </c>
      <c r="F2432" t="s">
        <v>249</v>
      </c>
    </row>
    <row r="2433" spans="1:6" ht="15.75">
      <c r="A2433" t="str">
        <f t="shared" si="37"/>
        <v>Vufflens-la-VilleCADCHAUFF</v>
      </c>
      <c r="B2433" s="148">
        <v>5503</v>
      </c>
      <c r="C2433" s="148" t="s">
        <v>604</v>
      </c>
      <c r="D2433" s="148" t="s">
        <v>242</v>
      </c>
      <c r="E2433" s="148">
        <v>464520</v>
      </c>
      <c r="F2433" t="s">
        <v>249</v>
      </c>
    </row>
    <row r="2434" spans="1:6" ht="15.75">
      <c r="A2434" t="str">
        <f t="shared" si="37"/>
        <v>Vufflens-la-VilleElectricitéCHAUFF</v>
      </c>
      <c r="B2434" s="148">
        <v>5503</v>
      </c>
      <c r="C2434" s="148" t="s">
        <v>604</v>
      </c>
      <c r="D2434" s="148" t="s">
        <v>97</v>
      </c>
      <c r="E2434" s="148">
        <v>1898907.8279570199</v>
      </c>
      <c r="F2434" t="s">
        <v>249</v>
      </c>
    </row>
    <row r="2435" spans="1:6" ht="15.75">
      <c r="A2435" t="str">
        <f t="shared" si="37"/>
        <v>Vufflens-la-VilleGazCHAUFF</v>
      </c>
      <c r="B2435" s="148">
        <v>5503</v>
      </c>
      <c r="C2435" s="148" t="s">
        <v>604</v>
      </c>
      <c r="D2435" s="148" t="s">
        <v>239</v>
      </c>
      <c r="E2435" s="148">
        <v>5450611.0844135806</v>
      </c>
      <c r="F2435" t="s">
        <v>249</v>
      </c>
    </row>
    <row r="2436" spans="1:6" ht="15.75">
      <c r="A2436" t="str">
        <f t="shared" si="37"/>
        <v>Vufflens-la-VilleMazoutCHAUFF</v>
      </c>
      <c r="B2436" s="148">
        <v>5503</v>
      </c>
      <c r="C2436" s="148" t="s">
        <v>604</v>
      </c>
      <c r="D2436" s="148" t="s">
        <v>70</v>
      </c>
      <c r="E2436" s="148">
        <v>4632418.8000000212</v>
      </c>
      <c r="F2436" t="s">
        <v>249</v>
      </c>
    </row>
    <row r="2437" spans="1:6" ht="15.75">
      <c r="A2437" t="str">
        <f t="shared" si="37"/>
        <v>Vufflens-la-VilleNon renseignéCHAUFF</v>
      </c>
      <c r="B2437" s="148">
        <v>5503</v>
      </c>
      <c r="C2437" s="148" t="s">
        <v>604</v>
      </c>
      <c r="D2437" s="148" t="s">
        <v>696</v>
      </c>
      <c r="E2437" s="148">
        <v>0</v>
      </c>
      <c r="F2437" t="s">
        <v>249</v>
      </c>
    </row>
    <row r="2438" spans="1:6" ht="15.75">
      <c r="A2438" t="str">
        <f t="shared" si="37"/>
        <v>Vufflens-la-VillePACCHAUFF</v>
      </c>
      <c r="B2438" s="148">
        <v>5503</v>
      </c>
      <c r="C2438" s="148" t="s">
        <v>604</v>
      </c>
      <c r="D2438" s="148" t="s">
        <v>69</v>
      </c>
      <c r="E2438" s="148">
        <v>341876.14960261999</v>
      </c>
      <c r="F2438" t="s">
        <v>249</v>
      </c>
    </row>
    <row r="2439" spans="1:6" ht="15.75">
      <c r="A2439" t="str">
        <f t="shared" si="37"/>
        <v>Vufflens-la-VilleSolaireCHAUFF</v>
      </c>
      <c r="B2439" s="148">
        <v>5503</v>
      </c>
      <c r="C2439" s="148" t="s">
        <v>604</v>
      </c>
      <c r="D2439" s="148" t="s">
        <v>240</v>
      </c>
      <c r="E2439" s="148" t="e">
        <v>#N/A</v>
      </c>
      <c r="F2439" t="s">
        <v>249</v>
      </c>
    </row>
    <row r="2440" spans="1:6" ht="15.75">
      <c r="A2440" t="str">
        <f t="shared" si="37"/>
        <v>Vufflens-le-ChâteauAutre agent énergétiqueCHAUFF</v>
      </c>
      <c r="B2440" s="148">
        <v>5653</v>
      </c>
      <c r="C2440" s="148" t="s">
        <v>603</v>
      </c>
      <c r="D2440" s="148" t="s">
        <v>245</v>
      </c>
      <c r="E2440" s="148" t="e">
        <v>#N/A</v>
      </c>
      <c r="F2440" t="s">
        <v>249</v>
      </c>
    </row>
    <row r="2441" spans="1:6" ht="15.75">
      <c r="A2441" t="str">
        <f t="shared" si="37"/>
        <v>Vufflens-le-ChâteauBoisCHAUFF</v>
      </c>
      <c r="B2441" s="148">
        <v>5653</v>
      </c>
      <c r="C2441" s="148" t="s">
        <v>603</v>
      </c>
      <c r="D2441" s="148" t="s">
        <v>66</v>
      </c>
      <c r="E2441" s="148">
        <v>61827.796078429994</v>
      </c>
      <c r="F2441" t="s">
        <v>249</v>
      </c>
    </row>
    <row r="2442" spans="1:6" ht="15.75">
      <c r="A2442" t="str">
        <f t="shared" si="37"/>
        <v>Vufflens-le-ChâteauElectricitéCHAUFF</v>
      </c>
      <c r="B2442" s="148">
        <v>5653</v>
      </c>
      <c r="C2442" s="148" t="s">
        <v>603</v>
      </c>
      <c r="D2442" s="148" t="s">
        <v>97</v>
      </c>
      <c r="E2442" s="148">
        <v>1330506.9354838801</v>
      </c>
      <c r="F2442" t="s">
        <v>249</v>
      </c>
    </row>
    <row r="2443" spans="1:6" ht="15.75">
      <c r="A2443" t="str">
        <f t="shared" ref="A2443:A2506" si="38">_xlfn.CONCAT(C2443,D2443,F2443)</f>
        <v>Vufflens-le-ChâteauGazCHAUFF</v>
      </c>
      <c r="B2443" s="148">
        <v>5653</v>
      </c>
      <c r="C2443" s="148" t="s">
        <v>603</v>
      </c>
      <c r="D2443" s="148" t="s">
        <v>239</v>
      </c>
      <c r="E2443" s="148">
        <v>2801664.3857584703</v>
      </c>
      <c r="F2443" t="s">
        <v>249</v>
      </c>
    </row>
    <row r="2444" spans="1:6" ht="15.75">
      <c r="A2444" t="str">
        <f t="shared" si="38"/>
        <v>Vufflens-le-ChâteauMazoutCHAUFF</v>
      </c>
      <c r="B2444" s="148">
        <v>5653</v>
      </c>
      <c r="C2444" s="148" t="s">
        <v>603</v>
      </c>
      <c r="D2444" s="148" t="s">
        <v>70</v>
      </c>
      <c r="E2444" s="148">
        <v>3936607.8235293794</v>
      </c>
      <c r="F2444" t="s">
        <v>249</v>
      </c>
    </row>
    <row r="2445" spans="1:6" ht="15.75">
      <c r="A2445" t="str">
        <f t="shared" si="38"/>
        <v>Vufflens-le-ChâteauNon renseignéCHAUFF</v>
      </c>
      <c r="B2445" s="148">
        <v>5653</v>
      </c>
      <c r="C2445" s="148" t="s">
        <v>603</v>
      </c>
      <c r="D2445" s="148" t="s">
        <v>696</v>
      </c>
      <c r="E2445" s="148">
        <v>0</v>
      </c>
      <c r="F2445" t="s">
        <v>249</v>
      </c>
    </row>
    <row r="2446" spans="1:6" ht="15.75">
      <c r="A2446" t="str">
        <f t="shared" si="38"/>
        <v>Vufflens-le-ChâteauPACCHAUFF</v>
      </c>
      <c r="B2446" s="148">
        <v>5653</v>
      </c>
      <c r="C2446" s="148" t="s">
        <v>603</v>
      </c>
      <c r="D2446" s="148" t="s">
        <v>69</v>
      </c>
      <c r="E2446" s="148">
        <v>245664.45088565999</v>
      </c>
      <c r="F2446" t="s">
        <v>249</v>
      </c>
    </row>
    <row r="2447" spans="1:6" ht="15.75">
      <c r="A2447" t="str">
        <f t="shared" si="38"/>
        <v>Vufflens-le-ChâteauSolaireCHAUFF</v>
      </c>
      <c r="B2447" s="148">
        <v>5653</v>
      </c>
      <c r="C2447" s="148" t="s">
        <v>603</v>
      </c>
      <c r="D2447" s="148" t="s">
        <v>240</v>
      </c>
      <c r="E2447" s="148" t="e">
        <v>#N/A</v>
      </c>
      <c r="F2447" t="s">
        <v>249</v>
      </c>
    </row>
    <row r="2448" spans="1:6" ht="15.75">
      <c r="A2448" t="str">
        <f t="shared" si="38"/>
        <v>Vugelles-La MotheAutre agent énergétiqueCHAUFF</v>
      </c>
      <c r="B2448" s="148">
        <v>5937</v>
      </c>
      <c r="C2448" s="148" t="s">
        <v>594</v>
      </c>
      <c r="D2448" s="148" t="s">
        <v>245</v>
      </c>
      <c r="E2448" s="148">
        <v>12728.470588239999</v>
      </c>
      <c r="F2448" t="s">
        <v>249</v>
      </c>
    </row>
    <row r="2449" spans="1:6" ht="15.75">
      <c r="A2449" t="str">
        <f t="shared" si="38"/>
        <v>Vugelles-La MotheBoisCHAUFF</v>
      </c>
      <c r="B2449" s="148">
        <v>5937</v>
      </c>
      <c r="C2449" s="148" t="s">
        <v>594</v>
      </c>
      <c r="D2449" s="148" t="s">
        <v>66</v>
      </c>
      <c r="E2449" s="148">
        <v>889706.66666667</v>
      </c>
      <c r="F2449" t="s">
        <v>249</v>
      </c>
    </row>
    <row r="2450" spans="1:6" ht="15.75">
      <c r="A2450" t="str">
        <f t="shared" si="38"/>
        <v>Vugelles-La MotheElectricitéCHAUFF</v>
      </c>
      <c r="B2450" s="148">
        <v>5937</v>
      </c>
      <c r="C2450" s="148" t="s">
        <v>594</v>
      </c>
      <c r="D2450" s="148" t="s">
        <v>97</v>
      </c>
      <c r="E2450" s="148">
        <v>87928.602150530001</v>
      </c>
      <c r="F2450" t="s">
        <v>249</v>
      </c>
    </row>
    <row r="2451" spans="1:6" ht="15.75">
      <c r="A2451" t="str">
        <f t="shared" si="38"/>
        <v>Vugelles-La MotheGazCHAUFF</v>
      </c>
      <c r="B2451" s="148">
        <v>5937</v>
      </c>
      <c r="C2451" s="148" t="s">
        <v>594</v>
      </c>
      <c r="D2451" s="148" t="s">
        <v>239</v>
      </c>
      <c r="E2451" s="148">
        <v>129103.05882352999</v>
      </c>
      <c r="F2451" t="s">
        <v>249</v>
      </c>
    </row>
    <row r="2452" spans="1:6" ht="15.75">
      <c r="A2452" t="str">
        <f t="shared" si="38"/>
        <v>Vugelles-La MotheMazoutCHAUFF</v>
      </c>
      <c r="B2452" s="148">
        <v>5937</v>
      </c>
      <c r="C2452" s="148" t="s">
        <v>594</v>
      </c>
      <c r="D2452" s="148" t="s">
        <v>70</v>
      </c>
      <c r="E2452" s="148">
        <v>1081575.20000001</v>
      </c>
      <c r="F2452" t="s">
        <v>249</v>
      </c>
    </row>
    <row r="2453" spans="1:6" ht="15.75">
      <c r="A2453" t="str">
        <f t="shared" si="38"/>
        <v>Vugelles-La MotheNon renseignéCHAUFF</v>
      </c>
      <c r="B2453" s="148">
        <v>5937</v>
      </c>
      <c r="C2453" s="148" t="s">
        <v>594</v>
      </c>
      <c r="D2453" s="148" t="s">
        <v>696</v>
      </c>
      <c r="E2453" s="148">
        <v>0</v>
      </c>
      <c r="F2453" t="s">
        <v>249</v>
      </c>
    </row>
    <row r="2454" spans="1:6" ht="15.75">
      <c r="A2454" t="str">
        <f t="shared" si="38"/>
        <v>Vugelles-La MothePACCHAUFF</v>
      </c>
      <c r="B2454" s="148">
        <v>5937</v>
      </c>
      <c r="C2454" s="148" t="s">
        <v>594</v>
      </c>
      <c r="D2454" s="148" t="s">
        <v>69</v>
      </c>
      <c r="E2454" s="148">
        <v>38886.577060930002</v>
      </c>
      <c r="F2454" t="s">
        <v>249</v>
      </c>
    </row>
    <row r="2455" spans="1:6" ht="15.75">
      <c r="A2455" t="str">
        <f t="shared" si="38"/>
        <v>Vugelles-La MotheSolaireCHAUFF</v>
      </c>
      <c r="B2455" s="148">
        <v>5937</v>
      </c>
      <c r="C2455" s="148" t="s">
        <v>594</v>
      </c>
      <c r="D2455" s="148" t="s">
        <v>240</v>
      </c>
      <c r="E2455" s="148" t="e">
        <v>#N/A</v>
      </c>
      <c r="F2455" t="s">
        <v>249</v>
      </c>
    </row>
    <row r="2456" spans="1:6" ht="15.75">
      <c r="A2456" t="str">
        <f t="shared" si="38"/>
        <v>VuiteboeufBoisCHAUFF</v>
      </c>
      <c r="B2456" s="148">
        <v>5766</v>
      </c>
      <c r="C2456" s="148" t="s">
        <v>595</v>
      </c>
      <c r="D2456" s="148" t="s">
        <v>66</v>
      </c>
      <c r="E2456" s="148">
        <v>637272.97254901007</v>
      </c>
      <c r="F2456" t="s">
        <v>249</v>
      </c>
    </row>
    <row r="2457" spans="1:6" ht="15.75">
      <c r="A2457" t="str">
        <f t="shared" si="38"/>
        <v>VuiteboeufCADCHAUFF</v>
      </c>
      <c r="B2457" s="148">
        <v>5766</v>
      </c>
      <c r="C2457" s="148" t="s">
        <v>595</v>
      </c>
      <c r="D2457" s="148" t="s">
        <v>242</v>
      </c>
      <c r="E2457" s="148">
        <v>35280</v>
      </c>
      <c r="F2457" t="s">
        <v>249</v>
      </c>
    </row>
    <row r="2458" spans="1:6" ht="15.75">
      <c r="A2458" t="str">
        <f t="shared" si="38"/>
        <v>VuiteboeufCharbonCHAUFF</v>
      </c>
      <c r="B2458" s="148">
        <v>5766</v>
      </c>
      <c r="C2458" s="148" t="s">
        <v>595</v>
      </c>
      <c r="D2458" s="148" t="s">
        <v>695</v>
      </c>
      <c r="E2458" s="148" t="e">
        <v>#N/A</v>
      </c>
      <c r="F2458" t="s">
        <v>249</v>
      </c>
    </row>
    <row r="2459" spans="1:6" ht="15.75">
      <c r="A2459" t="str">
        <f t="shared" si="38"/>
        <v>VuiteboeufElectricitéCHAUFF</v>
      </c>
      <c r="B2459" s="148">
        <v>5766</v>
      </c>
      <c r="C2459" s="148" t="s">
        <v>595</v>
      </c>
      <c r="D2459" s="148" t="s">
        <v>97</v>
      </c>
      <c r="E2459" s="148">
        <v>516720.64516129001</v>
      </c>
      <c r="F2459" t="s">
        <v>249</v>
      </c>
    </row>
    <row r="2460" spans="1:6" ht="15.75">
      <c r="A2460" t="str">
        <f t="shared" si="38"/>
        <v>VuiteboeufGazCHAUFF</v>
      </c>
      <c r="B2460" s="148">
        <v>5766</v>
      </c>
      <c r="C2460" s="148" t="s">
        <v>595</v>
      </c>
      <c r="D2460" s="148" t="s">
        <v>239</v>
      </c>
      <c r="E2460" s="148">
        <v>2377904.61919501</v>
      </c>
      <c r="F2460" t="s">
        <v>249</v>
      </c>
    </row>
    <row r="2461" spans="1:6" ht="15.75">
      <c r="A2461" t="str">
        <f t="shared" si="38"/>
        <v>VuiteboeufMazoutCHAUFF</v>
      </c>
      <c r="B2461" s="148">
        <v>5766</v>
      </c>
      <c r="C2461" s="148" t="s">
        <v>595</v>
      </c>
      <c r="D2461" s="148" t="s">
        <v>70</v>
      </c>
      <c r="E2461" s="148">
        <v>3324892.8235294204</v>
      </c>
      <c r="F2461" t="s">
        <v>249</v>
      </c>
    </row>
    <row r="2462" spans="1:6" ht="15.75">
      <c r="A2462" t="str">
        <f t="shared" si="38"/>
        <v>VuiteboeufNon renseignéCHAUFF</v>
      </c>
      <c r="B2462" s="148">
        <v>5766</v>
      </c>
      <c r="C2462" s="148" t="s">
        <v>595</v>
      </c>
      <c r="D2462" s="148" t="s">
        <v>696</v>
      </c>
      <c r="E2462" s="148">
        <v>0</v>
      </c>
      <c r="F2462" t="s">
        <v>249</v>
      </c>
    </row>
    <row r="2463" spans="1:6" ht="15.75">
      <c r="A2463" t="str">
        <f t="shared" si="38"/>
        <v>VuiteboeufPACCHAUFF</v>
      </c>
      <c r="B2463" s="148">
        <v>5766</v>
      </c>
      <c r="C2463" s="148" t="s">
        <v>595</v>
      </c>
      <c r="D2463" s="148" t="s">
        <v>69</v>
      </c>
      <c r="E2463" s="148">
        <v>206233.69404186</v>
      </c>
      <c r="F2463" t="s">
        <v>249</v>
      </c>
    </row>
    <row r="2464" spans="1:6" ht="15.75">
      <c r="A2464" t="str">
        <f t="shared" si="38"/>
        <v>VuiteboeufSolaireCHAUFF</v>
      </c>
      <c r="B2464" s="148">
        <v>5766</v>
      </c>
      <c r="C2464" s="148" t="s">
        <v>595</v>
      </c>
      <c r="D2464" s="148" t="s">
        <v>240</v>
      </c>
      <c r="E2464" s="148">
        <v>21878.400000000001</v>
      </c>
      <c r="F2464" t="s">
        <v>249</v>
      </c>
    </row>
    <row r="2465" spans="1:6" ht="15.75">
      <c r="A2465" t="str">
        <f t="shared" si="38"/>
        <v>VulliensBoisCHAUFF</v>
      </c>
      <c r="B2465" s="148">
        <v>5803</v>
      </c>
      <c r="C2465" s="148" t="s">
        <v>596</v>
      </c>
      <c r="D2465" s="148" t="s">
        <v>66</v>
      </c>
      <c r="E2465" s="148">
        <v>1664451.6078431299</v>
      </c>
      <c r="F2465" t="s">
        <v>249</v>
      </c>
    </row>
    <row r="2466" spans="1:6" ht="15.75">
      <c r="A2466" t="str">
        <f t="shared" si="38"/>
        <v>VulliensCADCHAUFF</v>
      </c>
      <c r="B2466" s="148">
        <v>5803</v>
      </c>
      <c r="C2466" s="148" t="s">
        <v>596</v>
      </c>
      <c r="D2466" s="148" t="s">
        <v>242</v>
      </c>
      <c r="E2466" s="148">
        <v>171436</v>
      </c>
      <c r="F2466" t="s">
        <v>249</v>
      </c>
    </row>
    <row r="2467" spans="1:6" ht="15.75">
      <c r="A2467" t="str">
        <f t="shared" si="38"/>
        <v>VulliensElectricitéCHAUFF</v>
      </c>
      <c r="B2467" s="148">
        <v>5803</v>
      </c>
      <c r="C2467" s="148" t="s">
        <v>596</v>
      </c>
      <c r="D2467" s="148" t="s">
        <v>97</v>
      </c>
      <c r="E2467" s="148">
        <v>444874.83870968001</v>
      </c>
      <c r="F2467" t="s">
        <v>249</v>
      </c>
    </row>
    <row r="2468" spans="1:6" ht="15.75">
      <c r="A2468" t="str">
        <f t="shared" si="38"/>
        <v>VulliensGazCHAUFF</v>
      </c>
      <c r="B2468" s="148">
        <v>5803</v>
      </c>
      <c r="C2468" s="148" t="s">
        <v>596</v>
      </c>
      <c r="D2468" s="148" t="s">
        <v>239</v>
      </c>
      <c r="E2468" s="148">
        <v>1589395.82693502</v>
      </c>
      <c r="F2468" t="s">
        <v>249</v>
      </c>
    </row>
    <row r="2469" spans="1:6" ht="15.75">
      <c r="A2469" t="str">
        <f t="shared" si="38"/>
        <v>VulliensMazoutCHAUFF</v>
      </c>
      <c r="B2469" s="148">
        <v>5803</v>
      </c>
      <c r="C2469" s="148" t="s">
        <v>596</v>
      </c>
      <c r="D2469" s="148" t="s">
        <v>70</v>
      </c>
      <c r="E2469" s="148">
        <v>3168737.6946347905</v>
      </c>
      <c r="F2469" t="s">
        <v>249</v>
      </c>
    </row>
    <row r="2470" spans="1:6" ht="15.75">
      <c r="A2470" t="str">
        <f t="shared" si="38"/>
        <v>VulliensNon renseignéCHAUFF</v>
      </c>
      <c r="B2470" s="148">
        <v>5803</v>
      </c>
      <c r="C2470" s="148" t="s">
        <v>596</v>
      </c>
      <c r="D2470" s="148" t="s">
        <v>696</v>
      </c>
      <c r="E2470" s="148">
        <v>0</v>
      </c>
      <c r="F2470" t="s">
        <v>249</v>
      </c>
    </row>
    <row r="2471" spans="1:6" ht="15.75">
      <c r="A2471" t="str">
        <f t="shared" si="38"/>
        <v>VulliensPACCHAUFF</v>
      </c>
      <c r="B2471" s="148">
        <v>5803</v>
      </c>
      <c r="C2471" s="148" t="s">
        <v>596</v>
      </c>
      <c r="D2471" s="148" t="s">
        <v>69</v>
      </c>
      <c r="E2471" s="148">
        <v>237518.96679439</v>
      </c>
      <c r="F2471" t="s">
        <v>249</v>
      </c>
    </row>
    <row r="2472" spans="1:6" ht="15.75">
      <c r="A2472" t="str">
        <f t="shared" si="38"/>
        <v>VulliensSolaireCHAUFF</v>
      </c>
      <c r="B2472" s="148">
        <v>5803</v>
      </c>
      <c r="C2472" s="148" t="s">
        <v>596</v>
      </c>
      <c r="D2472" s="148" t="s">
        <v>240</v>
      </c>
      <c r="E2472" s="148">
        <v>113839.2</v>
      </c>
      <c r="F2472" t="s">
        <v>249</v>
      </c>
    </row>
    <row r="2473" spans="1:6" ht="15.75">
      <c r="A2473" t="str">
        <f t="shared" si="38"/>
        <v>VulliensAutre agent énergétiqueCHAUFF</v>
      </c>
      <c r="B2473" s="148">
        <v>5803</v>
      </c>
      <c r="C2473" s="148" t="s">
        <v>596</v>
      </c>
      <c r="D2473" s="148" t="s">
        <v>245</v>
      </c>
      <c r="E2473" s="148" t="e">
        <v>#N/A</v>
      </c>
      <c r="F2473" t="s">
        <v>249</v>
      </c>
    </row>
    <row r="2474" spans="1:6" ht="15.75">
      <c r="A2474" t="str">
        <f t="shared" si="38"/>
        <v>VullierensAutre agent énergétiqueCHAUFF</v>
      </c>
      <c r="B2474" s="148">
        <v>5654</v>
      </c>
      <c r="C2474" s="148" t="s">
        <v>597</v>
      </c>
      <c r="D2474" s="148" t="s">
        <v>245</v>
      </c>
      <c r="E2474" s="148">
        <v>10729.411764709999</v>
      </c>
      <c r="F2474" t="s">
        <v>249</v>
      </c>
    </row>
    <row r="2475" spans="1:6" ht="15.75">
      <c r="A2475" t="str">
        <f t="shared" si="38"/>
        <v>VullierensBoisCHAUFF</v>
      </c>
      <c r="B2475" s="148">
        <v>5654</v>
      </c>
      <c r="C2475" s="148" t="s">
        <v>597</v>
      </c>
      <c r="D2475" s="148" t="s">
        <v>66</v>
      </c>
      <c r="E2475" s="148">
        <v>509466.15686275001</v>
      </c>
      <c r="F2475" t="s">
        <v>249</v>
      </c>
    </row>
    <row r="2476" spans="1:6" ht="15.75">
      <c r="A2476" t="str">
        <f t="shared" si="38"/>
        <v>VullierensCADCHAUFF</v>
      </c>
      <c r="B2476" s="148">
        <v>5654</v>
      </c>
      <c r="C2476" s="148" t="s">
        <v>597</v>
      </c>
      <c r="D2476" s="148" t="s">
        <v>242</v>
      </c>
      <c r="E2476" s="148">
        <v>8520</v>
      </c>
      <c r="F2476" t="s">
        <v>249</v>
      </c>
    </row>
    <row r="2477" spans="1:6" ht="15.75">
      <c r="A2477" t="str">
        <f t="shared" si="38"/>
        <v>VullierensElectricitéCHAUFF</v>
      </c>
      <c r="B2477" s="148">
        <v>5654</v>
      </c>
      <c r="C2477" s="148" t="s">
        <v>597</v>
      </c>
      <c r="D2477" s="148" t="s">
        <v>97</v>
      </c>
      <c r="E2477" s="148">
        <v>736004.73118278</v>
      </c>
      <c r="F2477" t="s">
        <v>249</v>
      </c>
    </row>
    <row r="2478" spans="1:6" ht="15.75">
      <c r="A2478" t="str">
        <f t="shared" si="38"/>
        <v>VullierensGazCHAUFF</v>
      </c>
      <c r="B2478" s="148">
        <v>5654</v>
      </c>
      <c r="C2478" s="148" t="s">
        <v>597</v>
      </c>
      <c r="D2478" s="148" t="s">
        <v>239</v>
      </c>
      <c r="E2478" s="148">
        <v>2327139.6006191988</v>
      </c>
      <c r="F2478" t="s">
        <v>249</v>
      </c>
    </row>
    <row r="2479" spans="1:6" ht="15.75">
      <c r="A2479" t="str">
        <f t="shared" si="38"/>
        <v>VullierensMazoutCHAUFF</v>
      </c>
      <c r="B2479" s="148">
        <v>5654</v>
      </c>
      <c r="C2479" s="148" t="s">
        <v>597</v>
      </c>
      <c r="D2479" s="148" t="s">
        <v>70</v>
      </c>
      <c r="E2479" s="148">
        <v>4247090.6929541202</v>
      </c>
      <c r="F2479" t="s">
        <v>249</v>
      </c>
    </row>
    <row r="2480" spans="1:6" ht="15.75">
      <c r="A2480" t="str">
        <f t="shared" si="38"/>
        <v>VullierensNon renseignéCHAUFF</v>
      </c>
      <c r="B2480" s="148">
        <v>5654</v>
      </c>
      <c r="C2480" s="148" t="s">
        <v>597</v>
      </c>
      <c r="D2480" s="148" t="s">
        <v>696</v>
      </c>
      <c r="E2480" s="148">
        <v>0</v>
      </c>
      <c r="F2480" t="s">
        <v>249</v>
      </c>
    </row>
    <row r="2481" spans="1:6" ht="15.75">
      <c r="A2481" t="str">
        <f t="shared" si="38"/>
        <v>VullierensPACCHAUFF</v>
      </c>
      <c r="B2481" s="148">
        <v>5654</v>
      </c>
      <c r="C2481" s="148" t="s">
        <v>597</v>
      </c>
      <c r="D2481" s="148" t="s">
        <v>69</v>
      </c>
      <c r="E2481" s="148">
        <v>108017.19665472</v>
      </c>
      <c r="F2481" t="s">
        <v>249</v>
      </c>
    </row>
    <row r="2482" spans="1:6" ht="15.75">
      <c r="A2482" t="str">
        <f t="shared" si="38"/>
        <v>VullierensSolaireCHAUFF</v>
      </c>
      <c r="B2482" s="148">
        <v>5654</v>
      </c>
      <c r="C2482" s="148" t="s">
        <v>597</v>
      </c>
      <c r="D2482" s="148" t="s">
        <v>240</v>
      </c>
      <c r="E2482" s="148">
        <v>10884.5</v>
      </c>
      <c r="F2482" t="s">
        <v>249</v>
      </c>
    </row>
    <row r="2483" spans="1:6" ht="15.75">
      <c r="A2483" t="str">
        <f t="shared" si="38"/>
        <v>Vully-les-LacsAutre agent énergétiqueCHAUFF</v>
      </c>
      <c r="B2483" s="148">
        <v>5464</v>
      </c>
      <c r="C2483" s="148" t="s">
        <v>694</v>
      </c>
      <c r="D2483" s="148" t="s">
        <v>245</v>
      </c>
      <c r="E2483" s="148">
        <v>23717.647058819999</v>
      </c>
      <c r="F2483" t="s">
        <v>249</v>
      </c>
    </row>
    <row r="2484" spans="1:6" ht="15.75">
      <c r="A2484" t="str">
        <f t="shared" si="38"/>
        <v>Vully-les-LacsBoisCHAUFF</v>
      </c>
      <c r="B2484" s="148">
        <v>5464</v>
      </c>
      <c r="C2484" s="148" t="s">
        <v>694</v>
      </c>
      <c r="D2484" s="148" t="s">
        <v>66</v>
      </c>
      <c r="E2484" s="148">
        <v>8344368.3609867608</v>
      </c>
      <c r="F2484" t="s">
        <v>249</v>
      </c>
    </row>
    <row r="2485" spans="1:6" ht="15.75">
      <c r="A2485" t="str">
        <f t="shared" si="38"/>
        <v>Vully-les-LacsCADCHAUFF</v>
      </c>
      <c r="B2485" s="148">
        <v>5464</v>
      </c>
      <c r="C2485" s="148" t="s">
        <v>694</v>
      </c>
      <c r="D2485" s="148" t="s">
        <v>242</v>
      </c>
      <c r="E2485" s="148">
        <v>441360</v>
      </c>
      <c r="F2485" t="s">
        <v>249</v>
      </c>
    </row>
    <row r="2486" spans="1:6" ht="15.75">
      <c r="A2486" t="str">
        <f t="shared" si="38"/>
        <v>Vully-les-LacsCharbonCHAUFF</v>
      </c>
      <c r="B2486" s="148">
        <v>5464</v>
      </c>
      <c r="C2486" s="148" t="s">
        <v>694</v>
      </c>
      <c r="D2486" s="148" t="s">
        <v>695</v>
      </c>
      <c r="E2486" s="148" t="e">
        <v>#N/A</v>
      </c>
      <c r="F2486" t="s">
        <v>249</v>
      </c>
    </row>
    <row r="2487" spans="1:6" ht="15.75">
      <c r="A2487" t="str">
        <f t="shared" si="38"/>
        <v>Vully-les-LacsElectricitéCHAUFF</v>
      </c>
      <c r="B2487" s="148">
        <v>5464</v>
      </c>
      <c r="C2487" s="148" t="s">
        <v>694</v>
      </c>
      <c r="D2487" s="148" t="s">
        <v>97</v>
      </c>
      <c r="E2487" s="148">
        <v>3656849.0322580896</v>
      </c>
      <c r="F2487" t="s">
        <v>249</v>
      </c>
    </row>
    <row r="2488" spans="1:6" ht="15.75">
      <c r="A2488" t="str">
        <f t="shared" si="38"/>
        <v>Vully-les-LacsGazCHAUFF</v>
      </c>
      <c r="B2488" s="148">
        <v>5464</v>
      </c>
      <c r="C2488" s="148" t="s">
        <v>694</v>
      </c>
      <c r="D2488" s="148" t="s">
        <v>239</v>
      </c>
      <c r="E2488" s="148">
        <v>705579.95046439988</v>
      </c>
      <c r="F2488" t="s">
        <v>249</v>
      </c>
    </row>
    <row r="2489" spans="1:6" ht="15.75">
      <c r="A2489" t="str">
        <f t="shared" si="38"/>
        <v>Vully-les-LacsMazoutCHAUFF</v>
      </c>
      <c r="B2489" s="148">
        <v>5464</v>
      </c>
      <c r="C2489" s="148" t="s">
        <v>694</v>
      </c>
      <c r="D2489" s="148" t="s">
        <v>70</v>
      </c>
      <c r="E2489" s="148">
        <v>25082234.172075078</v>
      </c>
      <c r="F2489" t="s">
        <v>249</v>
      </c>
    </row>
    <row r="2490" spans="1:6" ht="15.75">
      <c r="A2490" t="str">
        <f t="shared" si="38"/>
        <v>Vully-les-LacsNon renseignéCHAUFF</v>
      </c>
      <c r="B2490" s="148">
        <v>5464</v>
      </c>
      <c r="C2490" s="148" t="s">
        <v>694</v>
      </c>
      <c r="D2490" s="148" t="s">
        <v>696</v>
      </c>
      <c r="E2490" s="148">
        <v>0</v>
      </c>
      <c r="F2490" t="s">
        <v>249</v>
      </c>
    </row>
    <row r="2491" spans="1:6" ht="15.75">
      <c r="A2491" t="str">
        <f t="shared" si="38"/>
        <v>Vully-les-LacsPACCHAUFF</v>
      </c>
      <c r="B2491" s="148">
        <v>5464</v>
      </c>
      <c r="C2491" s="148" t="s">
        <v>694</v>
      </c>
      <c r="D2491" s="148" t="s">
        <v>69</v>
      </c>
      <c r="E2491" s="148">
        <v>4795053.3603739357</v>
      </c>
      <c r="F2491" t="s">
        <v>249</v>
      </c>
    </row>
    <row r="2492" spans="1:6" ht="15.75">
      <c r="A2492" t="str">
        <f t="shared" si="38"/>
        <v>Vully-les-LacsSolaireCHAUFF</v>
      </c>
      <c r="B2492" s="148">
        <v>5464</v>
      </c>
      <c r="C2492" s="148" t="s">
        <v>694</v>
      </c>
      <c r="D2492" s="148" t="s">
        <v>240</v>
      </c>
      <c r="E2492" s="148">
        <v>10212</v>
      </c>
      <c r="F2492" t="s">
        <v>249</v>
      </c>
    </row>
    <row r="2493" spans="1:6" ht="15.75">
      <c r="A2493" t="str">
        <f t="shared" si="38"/>
        <v>YensAutre agent énergétiqueCHAUFF</v>
      </c>
      <c r="B2493" s="148">
        <v>5655</v>
      </c>
      <c r="C2493" s="148" t="s">
        <v>598</v>
      </c>
      <c r="D2493" s="148" t="s">
        <v>245</v>
      </c>
      <c r="E2493" s="148">
        <v>1728</v>
      </c>
      <c r="F2493" t="s">
        <v>249</v>
      </c>
    </row>
    <row r="2494" spans="1:6" ht="15.75">
      <c r="A2494" t="str">
        <f t="shared" si="38"/>
        <v>YensBoisCHAUFF</v>
      </c>
      <c r="B2494" s="148">
        <v>5655</v>
      </c>
      <c r="C2494" s="148" t="s">
        <v>598</v>
      </c>
      <c r="D2494" s="148" t="s">
        <v>66</v>
      </c>
      <c r="E2494" s="148">
        <v>1679822.4901960802</v>
      </c>
      <c r="F2494" t="s">
        <v>249</v>
      </c>
    </row>
    <row r="2495" spans="1:6" ht="15.75">
      <c r="A2495" t="str">
        <f t="shared" si="38"/>
        <v>YensCADCHAUFF</v>
      </c>
      <c r="B2495" s="148">
        <v>5655</v>
      </c>
      <c r="C2495" s="148" t="s">
        <v>598</v>
      </c>
      <c r="D2495" s="148" t="s">
        <v>242</v>
      </c>
      <c r="E2495" s="148" t="e">
        <v>#N/A</v>
      </c>
      <c r="F2495" t="s">
        <v>249</v>
      </c>
    </row>
    <row r="2496" spans="1:6" ht="15.75">
      <c r="A2496" t="str">
        <f t="shared" si="38"/>
        <v>YensElectricitéCHAUFF</v>
      </c>
      <c r="B2496" s="148">
        <v>5655</v>
      </c>
      <c r="C2496" s="148" t="s">
        <v>598</v>
      </c>
      <c r="D2496" s="148" t="s">
        <v>97</v>
      </c>
      <c r="E2496" s="148">
        <v>1617705.8064516205</v>
      </c>
      <c r="F2496" t="s">
        <v>249</v>
      </c>
    </row>
    <row r="2497" spans="1:6" ht="15.75">
      <c r="A2497" t="str">
        <f t="shared" si="38"/>
        <v>YensGazCHAUFF</v>
      </c>
      <c r="B2497" s="148">
        <v>5655</v>
      </c>
      <c r="C2497" s="148" t="s">
        <v>598</v>
      </c>
      <c r="D2497" s="148" t="s">
        <v>239</v>
      </c>
      <c r="E2497" s="148">
        <v>5976759.445201261</v>
      </c>
      <c r="F2497" t="s">
        <v>249</v>
      </c>
    </row>
    <row r="2498" spans="1:6" ht="15.75">
      <c r="A2498" t="str">
        <f t="shared" si="38"/>
        <v>YensMazoutCHAUFF</v>
      </c>
      <c r="B2498" s="148">
        <v>5655</v>
      </c>
      <c r="C2498" s="148" t="s">
        <v>598</v>
      </c>
      <c r="D2498" s="148" t="s">
        <v>70</v>
      </c>
      <c r="E2498" s="148">
        <v>5568655.352941188</v>
      </c>
      <c r="F2498" t="s">
        <v>249</v>
      </c>
    </row>
    <row r="2499" spans="1:6" ht="15.75">
      <c r="A2499" t="str">
        <f t="shared" si="38"/>
        <v>YensNon renseignéCHAUFF</v>
      </c>
      <c r="B2499" s="148">
        <v>5655</v>
      </c>
      <c r="C2499" s="148" t="s">
        <v>598</v>
      </c>
      <c r="D2499" s="148" t="s">
        <v>696</v>
      </c>
      <c r="E2499" s="148">
        <v>0</v>
      </c>
      <c r="F2499" t="s">
        <v>249</v>
      </c>
    </row>
    <row r="2500" spans="1:6" ht="15.75">
      <c r="A2500" t="str">
        <f t="shared" si="38"/>
        <v>YensPACCHAUFF</v>
      </c>
      <c r="B2500" s="148">
        <v>5655</v>
      </c>
      <c r="C2500" s="148" t="s">
        <v>598</v>
      </c>
      <c r="D2500" s="148" t="s">
        <v>69</v>
      </c>
      <c r="E2500" s="148">
        <v>749558.42419433012</v>
      </c>
      <c r="F2500" t="s">
        <v>249</v>
      </c>
    </row>
    <row r="2501" spans="1:6" ht="15.75">
      <c r="A2501" t="str">
        <f t="shared" si="38"/>
        <v>YensSolaireCHAUFF</v>
      </c>
      <c r="B2501" s="148">
        <v>5655</v>
      </c>
      <c r="C2501" s="148" t="s">
        <v>598</v>
      </c>
      <c r="D2501" s="148" t="s">
        <v>240</v>
      </c>
      <c r="E2501" s="148" t="e">
        <v>#N/A</v>
      </c>
      <c r="F2501" t="s">
        <v>249</v>
      </c>
    </row>
    <row r="2502" spans="1:6" ht="15.75">
      <c r="A2502" t="str">
        <f t="shared" si="38"/>
        <v>Yverdon-les-BainsAutre agent énergétiqueCHAUFF</v>
      </c>
      <c r="B2502" s="148">
        <v>5938</v>
      </c>
      <c r="C2502" s="148" t="s">
        <v>602</v>
      </c>
      <c r="D2502" s="148" t="s">
        <v>245</v>
      </c>
      <c r="E2502" s="148">
        <v>234804.70588235001</v>
      </c>
      <c r="F2502" t="s">
        <v>249</v>
      </c>
    </row>
    <row r="2503" spans="1:6" ht="15.75">
      <c r="A2503" t="str">
        <f t="shared" si="38"/>
        <v>Yverdon-les-BainsBoisCHAUFF</v>
      </c>
      <c r="B2503" s="148">
        <v>5938</v>
      </c>
      <c r="C2503" s="148" t="s">
        <v>602</v>
      </c>
      <c r="D2503" s="148" t="s">
        <v>66</v>
      </c>
      <c r="E2503" s="148">
        <v>3750289.9764705608</v>
      </c>
      <c r="F2503" t="s">
        <v>249</v>
      </c>
    </row>
    <row r="2504" spans="1:6" ht="15.75">
      <c r="A2504" t="str">
        <f t="shared" si="38"/>
        <v>Yverdon-les-BainsCADCHAUFF</v>
      </c>
      <c r="B2504" s="148">
        <v>5938</v>
      </c>
      <c r="C2504" s="148" t="s">
        <v>602</v>
      </c>
      <c r="D2504" s="148" t="s">
        <v>242</v>
      </c>
      <c r="E2504" s="148">
        <v>4434473.9764705896</v>
      </c>
      <c r="F2504" t="s">
        <v>249</v>
      </c>
    </row>
    <row r="2505" spans="1:6" ht="15.75">
      <c r="A2505" t="str">
        <f t="shared" si="38"/>
        <v>Yverdon-les-BainsCharbonCHAUFF</v>
      </c>
      <c r="B2505" s="148">
        <v>5938</v>
      </c>
      <c r="C2505" s="148" t="s">
        <v>602</v>
      </c>
      <c r="D2505" s="148" t="s">
        <v>695</v>
      </c>
      <c r="E2505" s="148" t="e">
        <v>#N/A</v>
      </c>
      <c r="F2505" t="s">
        <v>249</v>
      </c>
    </row>
    <row r="2506" spans="1:6" ht="15.75">
      <c r="A2506" t="str">
        <f t="shared" si="38"/>
        <v>Yverdon-les-BainsElectricitéCHAUFF</v>
      </c>
      <c r="B2506" s="148">
        <v>5938</v>
      </c>
      <c r="C2506" s="148" t="s">
        <v>602</v>
      </c>
      <c r="D2506" s="148" t="s">
        <v>97</v>
      </c>
      <c r="E2506" s="148">
        <v>3270759.56989248</v>
      </c>
      <c r="F2506" t="s">
        <v>249</v>
      </c>
    </row>
    <row r="2507" spans="1:6" ht="15.75">
      <c r="A2507" t="str">
        <f t="shared" ref="A2507:A2570" si="39">_xlfn.CONCAT(C2507,D2507,F2507)</f>
        <v>Yverdon-les-BainsGazCHAUFF</v>
      </c>
      <c r="B2507" s="148">
        <v>5938</v>
      </c>
      <c r="C2507" s="148" t="s">
        <v>602</v>
      </c>
      <c r="D2507" s="148" t="s">
        <v>239</v>
      </c>
      <c r="E2507" s="148">
        <v>157300309.01341292</v>
      </c>
      <c r="F2507" t="s">
        <v>249</v>
      </c>
    </row>
    <row r="2508" spans="1:6" ht="15.75">
      <c r="A2508" t="str">
        <f t="shared" si="39"/>
        <v>Yverdon-les-BainsMazoutCHAUFF</v>
      </c>
      <c r="B2508" s="148">
        <v>5938</v>
      </c>
      <c r="C2508" s="148" t="s">
        <v>602</v>
      </c>
      <c r="D2508" s="148" t="s">
        <v>70</v>
      </c>
      <c r="E2508" s="148">
        <v>82853151.186166957</v>
      </c>
      <c r="F2508" t="s">
        <v>249</v>
      </c>
    </row>
    <row r="2509" spans="1:6" ht="15.75">
      <c r="A2509" t="str">
        <f t="shared" si="39"/>
        <v>Yverdon-les-BainsNon renseignéCHAUFF</v>
      </c>
      <c r="B2509" s="148">
        <v>5938</v>
      </c>
      <c r="C2509" s="148" t="s">
        <v>602</v>
      </c>
      <c r="D2509" s="148" t="s">
        <v>696</v>
      </c>
      <c r="E2509" s="148">
        <v>0</v>
      </c>
      <c r="F2509" t="s">
        <v>249</v>
      </c>
    </row>
    <row r="2510" spans="1:6" ht="15.75">
      <c r="A2510" t="str">
        <f t="shared" si="39"/>
        <v>Yverdon-les-BainsPACCHAUFF</v>
      </c>
      <c r="B2510" s="148">
        <v>5938</v>
      </c>
      <c r="C2510" s="148" t="s">
        <v>602</v>
      </c>
      <c r="D2510" s="148" t="s">
        <v>69</v>
      </c>
      <c r="E2510" s="148">
        <v>1156687.1261077099</v>
      </c>
      <c r="F2510" t="s">
        <v>249</v>
      </c>
    </row>
    <row r="2511" spans="1:6" ht="15.75">
      <c r="A2511" t="str">
        <f t="shared" si="39"/>
        <v>Yverdon-les-BainsSolaireCHAUFF</v>
      </c>
      <c r="B2511" s="148">
        <v>5938</v>
      </c>
      <c r="C2511" s="148" t="s">
        <v>602</v>
      </c>
      <c r="D2511" s="148" t="s">
        <v>240</v>
      </c>
      <c r="E2511" s="148">
        <v>27350.400000000001</v>
      </c>
      <c r="F2511" t="s">
        <v>249</v>
      </c>
    </row>
    <row r="2512" spans="1:6" ht="15.75">
      <c r="A2512" t="str">
        <f t="shared" si="39"/>
        <v>YvonandAutre agent énergétiqueCHAUFF</v>
      </c>
      <c r="B2512" s="148">
        <v>5939</v>
      </c>
      <c r="C2512" s="148" t="s">
        <v>599</v>
      </c>
      <c r="D2512" s="148" t="s">
        <v>245</v>
      </c>
      <c r="E2512" s="148">
        <v>56200.470588230004</v>
      </c>
      <c r="F2512" t="s">
        <v>249</v>
      </c>
    </row>
    <row r="2513" spans="1:6" ht="15.75">
      <c r="A2513" t="str">
        <f t="shared" si="39"/>
        <v>YvonandBoisCHAUFF</v>
      </c>
      <c r="B2513" s="148">
        <v>5939</v>
      </c>
      <c r="C2513" s="148" t="s">
        <v>599</v>
      </c>
      <c r="D2513" s="148" t="s">
        <v>66</v>
      </c>
      <c r="E2513" s="148">
        <v>2756635.2482352606</v>
      </c>
      <c r="F2513" t="s">
        <v>249</v>
      </c>
    </row>
    <row r="2514" spans="1:6" ht="15.75">
      <c r="A2514" t="str">
        <f t="shared" si="39"/>
        <v>YvonandCADCHAUFF</v>
      </c>
      <c r="B2514" s="148">
        <v>5939</v>
      </c>
      <c r="C2514" s="148" t="s">
        <v>599</v>
      </c>
      <c r="D2514" s="148" t="s">
        <v>242</v>
      </c>
      <c r="E2514" s="148">
        <v>1735378.7000000007</v>
      </c>
      <c r="F2514" t="s">
        <v>249</v>
      </c>
    </row>
    <row r="2515" spans="1:6" ht="15.75">
      <c r="A2515" t="str">
        <f t="shared" si="39"/>
        <v>YvonandCharbonCHAUFF</v>
      </c>
      <c r="B2515" s="148">
        <v>5939</v>
      </c>
      <c r="C2515" s="148" t="s">
        <v>599</v>
      </c>
      <c r="D2515" s="148" t="s">
        <v>695</v>
      </c>
      <c r="E2515" s="148" t="e">
        <v>#N/A</v>
      </c>
      <c r="F2515" t="s">
        <v>249</v>
      </c>
    </row>
    <row r="2516" spans="1:6" ht="15.75">
      <c r="A2516" t="str">
        <f t="shared" si="39"/>
        <v>YvonandElectricitéCHAUFF</v>
      </c>
      <c r="B2516" s="148">
        <v>5939</v>
      </c>
      <c r="C2516" s="148" t="s">
        <v>599</v>
      </c>
      <c r="D2516" s="148" t="s">
        <v>97</v>
      </c>
      <c r="E2516" s="148">
        <v>4908956.7120406181</v>
      </c>
      <c r="F2516" t="s">
        <v>249</v>
      </c>
    </row>
    <row r="2517" spans="1:6" ht="15.75">
      <c r="A2517" t="str">
        <f t="shared" si="39"/>
        <v>YvonandGazCHAUFF</v>
      </c>
      <c r="B2517" s="148">
        <v>5939</v>
      </c>
      <c r="C2517" s="148" t="s">
        <v>599</v>
      </c>
      <c r="D2517" s="148" t="s">
        <v>239</v>
      </c>
      <c r="E2517" s="148">
        <v>5683503.9377709497</v>
      </c>
      <c r="F2517" t="s">
        <v>249</v>
      </c>
    </row>
    <row r="2518" spans="1:6" ht="15.75">
      <c r="A2518" t="str">
        <f t="shared" si="39"/>
        <v>YvonandMazoutCHAUFF</v>
      </c>
      <c r="B2518" s="148">
        <v>5939</v>
      </c>
      <c r="C2518" s="148" t="s">
        <v>599</v>
      </c>
      <c r="D2518" s="148" t="s">
        <v>70</v>
      </c>
      <c r="E2518" s="148">
        <v>16848140.447058894</v>
      </c>
      <c r="F2518" t="s">
        <v>249</v>
      </c>
    </row>
    <row r="2519" spans="1:6" ht="15.75">
      <c r="A2519" t="str">
        <f t="shared" si="39"/>
        <v>YvonandNon renseignéCHAUFF</v>
      </c>
      <c r="B2519" s="148">
        <v>5939</v>
      </c>
      <c r="C2519" s="148" t="s">
        <v>599</v>
      </c>
      <c r="D2519" s="148" t="s">
        <v>696</v>
      </c>
      <c r="E2519" s="148">
        <v>0</v>
      </c>
      <c r="F2519" t="s">
        <v>249</v>
      </c>
    </row>
    <row r="2520" spans="1:6" ht="15.75">
      <c r="A2520" t="str">
        <f t="shared" si="39"/>
        <v>YvonandPACCHAUFF</v>
      </c>
      <c r="B2520" s="148">
        <v>5939</v>
      </c>
      <c r="C2520" s="148" t="s">
        <v>599</v>
      </c>
      <c r="D2520" s="148" t="s">
        <v>69</v>
      </c>
      <c r="E2520" s="148">
        <v>827558.74319253012</v>
      </c>
      <c r="F2520" t="s">
        <v>249</v>
      </c>
    </row>
    <row r="2521" spans="1:6" ht="15.75">
      <c r="A2521" t="str">
        <f t="shared" si="39"/>
        <v>YvonandSolaireCHAUFF</v>
      </c>
      <c r="B2521" s="148">
        <v>5939</v>
      </c>
      <c r="C2521" s="148" t="s">
        <v>599</v>
      </c>
      <c r="D2521" s="148" t="s">
        <v>240</v>
      </c>
      <c r="E2521" s="148">
        <v>47490.82185185</v>
      </c>
      <c r="F2521" t="s">
        <v>249</v>
      </c>
    </row>
    <row r="2522" spans="1:6" ht="15.75">
      <c r="A2522" t="str">
        <f t="shared" si="39"/>
        <v>YvorneBoisCHAUFF</v>
      </c>
      <c r="B2522" s="148">
        <v>5415</v>
      </c>
      <c r="C2522" s="148" t="s">
        <v>600</v>
      </c>
      <c r="D2522" s="148" t="s">
        <v>66</v>
      </c>
      <c r="E2522" s="148">
        <v>564706.53921567998</v>
      </c>
      <c r="F2522" t="s">
        <v>249</v>
      </c>
    </row>
    <row r="2523" spans="1:6" ht="15.75">
      <c r="A2523" t="str">
        <f t="shared" si="39"/>
        <v>YvorneElectricitéCHAUFF</v>
      </c>
      <c r="B2523" s="148">
        <v>5415</v>
      </c>
      <c r="C2523" s="148" t="s">
        <v>600</v>
      </c>
      <c r="D2523" s="148" t="s">
        <v>97</v>
      </c>
      <c r="E2523" s="148">
        <v>449335.80645159993</v>
      </c>
      <c r="F2523" t="s">
        <v>249</v>
      </c>
    </row>
    <row r="2524" spans="1:6" ht="15.75">
      <c r="A2524" t="str">
        <f t="shared" si="39"/>
        <v>YvorneGazCHAUFF</v>
      </c>
      <c r="B2524" s="148">
        <v>5415</v>
      </c>
      <c r="C2524" s="148" t="s">
        <v>600</v>
      </c>
      <c r="D2524" s="148" t="s">
        <v>239</v>
      </c>
      <c r="E2524" s="148">
        <v>5301343.9396285191</v>
      </c>
      <c r="F2524" t="s">
        <v>249</v>
      </c>
    </row>
    <row r="2525" spans="1:6" ht="15.75">
      <c r="A2525" t="str">
        <f t="shared" si="39"/>
        <v>YvorneMazoutCHAUFF</v>
      </c>
      <c r="B2525" s="148">
        <v>5415</v>
      </c>
      <c r="C2525" s="148" t="s">
        <v>600</v>
      </c>
      <c r="D2525" s="148" t="s">
        <v>70</v>
      </c>
      <c r="E2525" s="148">
        <v>7124257.458823503</v>
      </c>
      <c r="F2525" t="s">
        <v>249</v>
      </c>
    </row>
    <row r="2526" spans="1:6" ht="15.75">
      <c r="A2526" t="str">
        <f t="shared" si="39"/>
        <v>YvorneNon renseignéCHAUFF</v>
      </c>
      <c r="B2526" s="148">
        <v>5415</v>
      </c>
      <c r="C2526" s="148" t="s">
        <v>600</v>
      </c>
      <c r="D2526" s="148" t="s">
        <v>696</v>
      </c>
      <c r="E2526" s="148">
        <v>0</v>
      </c>
      <c r="F2526" t="s">
        <v>249</v>
      </c>
    </row>
    <row r="2527" spans="1:6" ht="15.75">
      <c r="A2527" t="str">
        <f t="shared" si="39"/>
        <v>YvornePACCHAUFF</v>
      </c>
      <c r="B2527" s="148">
        <v>5415</v>
      </c>
      <c r="C2527" s="148" t="s">
        <v>600</v>
      </c>
      <c r="D2527" s="148" t="s">
        <v>69</v>
      </c>
      <c r="E2527" s="148">
        <v>184393.94041868002</v>
      </c>
      <c r="F2527" t="s">
        <v>249</v>
      </c>
    </row>
    <row r="2528" spans="1:6" ht="15.75">
      <c r="A2528" t="str">
        <f t="shared" si="39"/>
        <v>YvorneAutre agent énergétiqueCHAUFF</v>
      </c>
      <c r="B2528" s="148">
        <v>5415</v>
      </c>
      <c r="C2528" s="148" t="s">
        <v>600</v>
      </c>
      <c r="D2528" s="148" t="s">
        <v>245</v>
      </c>
      <c r="E2528" s="148" t="e">
        <v>#N/A</v>
      </c>
      <c r="F2528" t="s">
        <v>249</v>
      </c>
    </row>
    <row r="2529" spans="1:6" ht="15.75">
      <c r="A2529" t="str">
        <f t="shared" si="39"/>
        <v>YvorneSolaireCHAUFF</v>
      </c>
      <c r="B2529" s="148">
        <v>5415</v>
      </c>
      <c r="C2529" s="148" t="s">
        <v>600</v>
      </c>
      <c r="D2529" s="148" t="s">
        <v>240</v>
      </c>
      <c r="E2529" s="148" t="e">
        <v>#N/A</v>
      </c>
      <c r="F2529" t="s">
        <v>249</v>
      </c>
    </row>
    <row r="2530" spans="1:6" ht="15.75">
      <c r="A2530" t="str">
        <f t="shared" si="39"/>
        <v>AclensBoisECS</v>
      </c>
      <c r="C2530" s="148" t="s">
        <v>383</v>
      </c>
      <c r="D2530" s="148" t="s">
        <v>66</v>
      </c>
      <c r="E2530" s="148">
        <v>15568.658823530001</v>
      </c>
      <c r="F2530" s="148" t="s">
        <v>37</v>
      </c>
    </row>
    <row r="2531" spans="1:6" ht="15.75">
      <c r="A2531" t="str">
        <f t="shared" si="39"/>
        <v>AclensCADECS</v>
      </c>
      <c r="C2531" s="148" t="s">
        <v>383</v>
      </c>
      <c r="D2531" s="148" t="s">
        <v>242</v>
      </c>
      <c r="E2531" s="148" t="e">
        <v>#N/A</v>
      </c>
      <c r="F2531" s="148" t="s">
        <v>37</v>
      </c>
    </row>
    <row r="2532" spans="1:6" ht="15.75">
      <c r="A2532" t="str">
        <f t="shared" si="39"/>
        <v>AclensElectricitéECS</v>
      </c>
      <c r="C2532" s="148" t="s">
        <v>383</v>
      </c>
      <c r="D2532" s="148" t="s">
        <v>97</v>
      </c>
      <c r="E2532" s="148">
        <v>301479.11111114</v>
      </c>
      <c r="F2532" s="148" t="s">
        <v>37</v>
      </c>
    </row>
    <row r="2533" spans="1:6" ht="15.75">
      <c r="A2533" t="str">
        <f t="shared" si="39"/>
        <v>AclensGazECS</v>
      </c>
      <c r="C2533" s="148" t="s">
        <v>383</v>
      </c>
      <c r="D2533" s="148" t="s">
        <v>239</v>
      </c>
      <c r="E2533" s="148">
        <v>246635.74424552999</v>
      </c>
      <c r="F2533" s="148" t="s">
        <v>37</v>
      </c>
    </row>
    <row r="2534" spans="1:6" ht="15.75">
      <c r="A2534" t="str">
        <f t="shared" si="39"/>
        <v>AclensMazoutECS</v>
      </c>
      <c r="C2534" s="148" t="s">
        <v>383</v>
      </c>
      <c r="D2534" s="148" t="s">
        <v>70</v>
      </c>
      <c r="E2534" s="148">
        <v>291967.52941175998</v>
      </c>
      <c r="F2534" s="148" t="s">
        <v>37</v>
      </c>
    </row>
    <row r="2535" spans="1:6" ht="15.75">
      <c r="A2535" t="str">
        <f t="shared" si="39"/>
        <v>AclensNon renseignéECS</v>
      </c>
      <c r="C2535" s="148" t="s">
        <v>383</v>
      </c>
      <c r="D2535" s="148" t="s">
        <v>696</v>
      </c>
      <c r="E2535" s="148">
        <v>0</v>
      </c>
      <c r="F2535" s="148" t="s">
        <v>37</v>
      </c>
    </row>
    <row r="2536" spans="1:6" ht="15.75">
      <c r="A2536" t="str">
        <f t="shared" si="39"/>
        <v>AclensPACECS</v>
      </c>
      <c r="C2536" s="148" t="s">
        <v>383</v>
      </c>
      <c r="D2536" s="148" t="s">
        <v>69</v>
      </c>
      <c r="E2536" s="148">
        <v>4439.8312894800001</v>
      </c>
      <c r="F2536" s="148" t="s">
        <v>37</v>
      </c>
    </row>
    <row r="2537" spans="1:6" ht="15.75">
      <c r="A2537" t="str">
        <f t="shared" si="39"/>
        <v>AclensSolaireECS</v>
      </c>
      <c r="C2537" s="148" t="s">
        <v>383</v>
      </c>
      <c r="D2537" s="148" t="s">
        <v>240</v>
      </c>
      <c r="E2537" s="148">
        <v>84084</v>
      </c>
      <c r="F2537" s="148" t="s">
        <v>37</v>
      </c>
    </row>
    <row r="2538" spans="1:6" ht="15.75">
      <c r="A2538" t="str">
        <f t="shared" si="39"/>
        <v>AgiezBoisECS</v>
      </c>
      <c r="C2538" s="148" t="s">
        <v>384</v>
      </c>
      <c r="D2538" s="148" t="s">
        <v>66</v>
      </c>
      <c r="E2538" s="148">
        <v>91305.035294119996</v>
      </c>
      <c r="F2538" s="148" t="s">
        <v>37</v>
      </c>
    </row>
    <row r="2539" spans="1:6" ht="15.75">
      <c r="A2539" t="str">
        <f t="shared" si="39"/>
        <v>AgiezCADECS</v>
      </c>
      <c r="C2539" s="148" t="s">
        <v>384</v>
      </c>
      <c r="D2539" s="148" t="s">
        <v>242</v>
      </c>
      <c r="E2539" s="148" t="e">
        <v>#N/A</v>
      </c>
      <c r="F2539" s="148" t="s">
        <v>37</v>
      </c>
    </row>
    <row r="2540" spans="1:6" ht="15.75">
      <c r="A2540" t="str">
        <f t="shared" si="39"/>
        <v>AgiezElectricitéECS</v>
      </c>
      <c r="C2540" s="148" t="s">
        <v>384</v>
      </c>
      <c r="D2540" s="148" t="s">
        <v>97</v>
      </c>
      <c r="E2540" s="148">
        <v>108542</v>
      </c>
      <c r="F2540" s="148" t="s">
        <v>37</v>
      </c>
    </row>
    <row r="2541" spans="1:6" ht="15.75">
      <c r="A2541" t="str">
        <f t="shared" si="39"/>
        <v>AgiezGazECS</v>
      </c>
      <c r="C2541" s="148" t="s">
        <v>384</v>
      </c>
      <c r="D2541" s="148" t="s">
        <v>239</v>
      </c>
      <c r="E2541" s="148">
        <v>171478.65984655003</v>
      </c>
      <c r="F2541" s="148" t="s">
        <v>37</v>
      </c>
    </row>
    <row r="2542" spans="1:6" ht="15.75">
      <c r="A2542" t="str">
        <f t="shared" si="39"/>
        <v>AgiezMazoutECS</v>
      </c>
      <c r="C2542" s="148" t="s">
        <v>384</v>
      </c>
      <c r="D2542" s="148" t="s">
        <v>70</v>
      </c>
      <c r="E2542" s="148">
        <v>120624.00000001003</v>
      </c>
      <c r="F2542" s="148" t="s">
        <v>37</v>
      </c>
    </row>
    <row r="2543" spans="1:6" ht="15.75">
      <c r="A2543" t="str">
        <f t="shared" si="39"/>
        <v>AgiezNon renseignéECS</v>
      </c>
      <c r="C2543" s="148" t="s">
        <v>384</v>
      </c>
      <c r="D2543" s="148" t="s">
        <v>696</v>
      </c>
      <c r="E2543" s="148">
        <v>0</v>
      </c>
      <c r="F2543" s="148" t="s">
        <v>37</v>
      </c>
    </row>
    <row r="2544" spans="1:6" ht="15.75">
      <c r="A2544" t="str">
        <f t="shared" si="39"/>
        <v>AgiezPACECS</v>
      </c>
      <c r="C2544" s="148" t="s">
        <v>384</v>
      </c>
      <c r="D2544" s="148" t="s">
        <v>69</v>
      </c>
      <c r="E2544" s="148">
        <v>7320.9230769100004</v>
      </c>
      <c r="F2544" s="148" t="s">
        <v>37</v>
      </c>
    </row>
    <row r="2545" spans="1:6" ht="15.75">
      <c r="A2545" t="str">
        <f t="shared" si="39"/>
        <v>AgiezSolaireECS</v>
      </c>
      <c r="C2545" s="148" t="s">
        <v>384</v>
      </c>
      <c r="D2545" s="148" t="s">
        <v>240</v>
      </c>
      <c r="E2545" s="148">
        <v>60058.600000000006</v>
      </c>
      <c r="F2545" s="148" t="s">
        <v>37</v>
      </c>
    </row>
    <row r="2546" spans="1:6" ht="15.75">
      <c r="A2546" t="str">
        <f t="shared" si="39"/>
        <v>AigleAutre agent énergétiqueECS</v>
      </c>
      <c r="C2546" s="148" t="s">
        <v>385</v>
      </c>
      <c r="D2546" s="148" t="s">
        <v>245</v>
      </c>
      <c r="E2546" s="148" t="e">
        <v>#N/A</v>
      </c>
      <c r="F2546" s="148" t="s">
        <v>37</v>
      </c>
    </row>
    <row r="2547" spans="1:6" ht="15.75">
      <c r="A2547" t="str">
        <f t="shared" si="39"/>
        <v>AigleBoisECS</v>
      </c>
      <c r="C2547" s="148" t="s">
        <v>385</v>
      </c>
      <c r="D2547" s="148" t="s">
        <v>66</v>
      </c>
      <c r="E2547" s="148">
        <v>340443.21568627999</v>
      </c>
      <c r="F2547" s="148" t="s">
        <v>37</v>
      </c>
    </row>
    <row r="2548" spans="1:6" ht="15.75">
      <c r="A2548" t="str">
        <f t="shared" si="39"/>
        <v>AigleCADECS</v>
      </c>
      <c r="C2548" s="148" t="s">
        <v>385</v>
      </c>
      <c r="D2548" s="148" t="s">
        <v>242</v>
      </c>
      <c r="E2548" s="148">
        <v>795.2</v>
      </c>
      <c r="F2548" s="148" t="s">
        <v>37</v>
      </c>
    </row>
    <row r="2549" spans="1:6" ht="15.75">
      <c r="A2549" t="str">
        <f t="shared" si="39"/>
        <v>AigleElectricitéECS</v>
      </c>
      <c r="C2549" s="148" t="s">
        <v>385</v>
      </c>
      <c r="D2549" s="148" t="s">
        <v>97</v>
      </c>
      <c r="E2549" s="148">
        <v>601273.83006536006</v>
      </c>
      <c r="F2549" s="148" t="s">
        <v>37</v>
      </c>
    </row>
    <row r="2550" spans="1:6" ht="15.75">
      <c r="A2550" t="str">
        <f t="shared" si="39"/>
        <v>AigleGazECS</v>
      </c>
      <c r="C2550" s="148" t="s">
        <v>385</v>
      </c>
      <c r="D2550" s="148" t="s">
        <v>239</v>
      </c>
      <c r="E2550" s="148">
        <v>6029006.6618926618</v>
      </c>
      <c r="F2550" s="148" t="s">
        <v>37</v>
      </c>
    </row>
    <row r="2551" spans="1:6" ht="15.75">
      <c r="A2551" t="str">
        <f t="shared" si="39"/>
        <v>AigleMazoutECS</v>
      </c>
      <c r="C2551" s="148" t="s">
        <v>385</v>
      </c>
      <c r="D2551" s="148" t="s">
        <v>70</v>
      </c>
      <c r="E2551" s="148">
        <v>2253112.4000000614</v>
      </c>
      <c r="F2551" s="148" t="s">
        <v>37</v>
      </c>
    </row>
    <row r="2552" spans="1:6" ht="15.75">
      <c r="A2552" t="str">
        <f t="shared" si="39"/>
        <v>AigleNon renseignéECS</v>
      </c>
      <c r="C2552" s="148" t="s">
        <v>385</v>
      </c>
      <c r="D2552" s="148" t="s">
        <v>696</v>
      </c>
      <c r="E2552" s="148">
        <v>0</v>
      </c>
      <c r="F2552" s="148" t="s">
        <v>37</v>
      </c>
    </row>
    <row r="2553" spans="1:6" ht="15.75">
      <c r="A2553" t="str">
        <f t="shared" si="39"/>
        <v>AiglePACECS</v>
      </c>
      <c r="C2553" s="148" t="s">
        <v>385</v>
      </c>
      <c r="D2553" s="148" t="s">
        <v>69</v>
      </c>
      <c r="E2553" s="148">
        <v>154800.40009909001</v>
      </c>
      <c r="F2553" s="148" t="s">
        <v>37</v>
      </c>
    </row>
    <row r="2554" spans="1:6" ht="15.75">
      <c r="A2554" t="str">
        <f t="shared" si="39"/>
        <v>AigleSolaireECS</v>
      </c>
      <c r="C2554" s="148" t="s">
        <v>385</v>
      </c>
      <c r="D2554" s="148" t="s">
        <v>240</v>
      </c>
      <c r="E2554" s="148">
        <v>994986.29999999958</v>
      </c>
      <c r="F2554" s="148" t="s">
        <v>37</v>
      </c>
    </row>
    <row r="2555" spans="1:6" ht="15.75">
      <c r="A2555" t="str">
        <f t="shared" si="39"/>
        <v>AllamanBoisECS</v>
      </c>
      <c r="C2555" s="148" t="s">
        <v>386</v>
      </c>
      <c r="D2555" s="148" t="s">
        <v>66</v>
      </c>
      <c r="E2555" s="148">
        <v>58311.15294118</v>
      </c>
      <c r="F2555" s="148" t="s">
        <v>37</v>
      </c>
    </row>
    <row r="2556" spans="1:6" ht="15.75">
      <c r="A2556" t="str">
        <f t="shared" si="39"/>
        <v>AllamanCADECS</v>
      </c>
      <c r="C2556" s="148" t="s">
        <v>386</v>
      </c>
      <c r="D2556" s="148" t="s">
        <v>242</v>
      </c>
      <c r="E2556" s="148">
        <v>10808</v>
      </c>
      <c r="F2556" s="148" t="s">
        <v>37</v>
      </c>
    </row>
    <row r="2557" spans="1:6" ht="15.75">
      <c r="A2557" t="str">
        <f t="shared" si="39"/>
        <v>AllamanElectricitéECS</v>
      </c>
      <c r="C2557" s="148" t="s">
        <v>386</v>
      </c>
      <c r="D2557" s="148" t="s">
        <v>97</v>
      </c>
      <c r="E2557" s="148">
        <v>158713.33333334001</v>
      </c>
      <c r="F2557" s="148" t="s">
        <v>37</v>
      </c>
    </row>
    <row r="2558" spans="1:6" ht="15.75">
      <c r="A2558" t="str">
        <f t="shared" si="39"/>
        <v>AllamanGazECS</v>
      </c>
      <c r="C2558" s="148" t="s">
        <v>386</v>
      </c>
      <c r="D2558" s="148" t="s">
        <v>239</v>
      </c>
      <c r="E2558" s="148">
        <v>52106.35294117</v>
      </c>
      <c r="F2558" s="148" t="s">
        <v>37</v>
      </c>
    </row>
    <row r="2559" spans="1:6" ht="15.75">
      <c r="A2559" t="str">
        <f t="shared" si="39"/>
        <v>AllamanMazoutECS</v>
      </c>
      <c r="C2559" s="148" t="s">
        <v>386</v>
      </c>
      <c r="D2559" s="148" t="s">
        <v>70</v>
      </c>
      <c r="E2559" s="148">
        <v>420543.52941177989</v>
      </c>
      <c r="F2559" s="148" t="s">
        <v>37</v>
      </c>
    </row>
    <row r="2560" spans="1:6" ht="15.75">
      <c r="A2560" t="str">
        <f t="shared" si="39"/>
        <v>AllamanNon renseignéECS</v>
      </c>
      <c r="C2560" s="148" t="s">
        <v>386</v>
      </c>
      <c r="D2560" s="148" t="s">
        <v>696</v>
      </c>
      <c r="E2560" s="148">
        <v>0</v>
      </c>
      <c r="F2560" s="148" t="s">
        <v>37</v>
      </c>
    </row>
    <row r="2561" spans="1:6" ht="15.75">
      <c r="A2561" t="str">
        <f t="shared" si="39"/>
        <v>AllamanPACECS</v>
      </c>
      <c r="C2561" s="148" t="s">
        <v>386</v>
      </c>
      <c r="D2561" s="148" t="s">
        <v>69</v>
      </c>
      <c r="E2561" s="148">
        <v>14314.780626779999</v>
      </c>
      <c r="F2561" s="148" t="s">
        <v>37</v>
      </c>
    </row>
    <row r="2562" spans="1:6" ht="15.75">
      <c r="A2562" t="str">
        <f t="shared" si="39"/>
        <v>AllamanSolaireECS</v>
      </c>
      <c r="C2562" s="148" t="s">
        <v>386</v>
      </c>
      <c r="D2562" s="148" t="s">
        <v>240</v>
      </c>
      <c r="E2562" s="148">
        <v>42352.800000000003</v>
      </c>
      <c r="F2562" s="148" t="s">
        <v>37</v>
      </c>
    </row>
    <row r="2563" spans="1:6" ht="15.75">
      <c r="A2563" t="str">
        <f t="shared" si="39"/>
        <v>ApplesBoisECS</v>
      </c>
      <c r="C2563" s="148" t="s">
        <v>387</v>
      </c>
      <c r="D2563" s="148" t="s">
        <v>66</v>
      </c>
      <c r="E2563" s="148" t="e">
        <v>#N/A</v>
      </c>
      <c r="F2563" s="148" t="s">
        <v>37</v>
      </c>
    </row>
    <row r="2564" spans="1:6" ht="15.75">
      <c r="A2564" t="str">
        <f t="shared" si="39"/>
        <v>ApplesCADECS</v>
      </c>
      <c r="C2564" s="148" t="s">
        <v>387</v>
      </c>
      <c r="D2564" s="148" t="s">
        <v>242</v>
      </c>
      <c r="E2564" s="148" t="e">
        <v>#N/A</v>
      </c>
      <c r="F2564" s="148" t="s">
        <v>37</v>
      </c>
    </row>
    <row r="2565" spans="1:6" ht="15.75">
      <c r="A2565" t="str">
        <f t="shared" si="39"/>
        <v>ApplesElectricitéECS</v>
      </c>
      <c r="C2565" s="148" t="s">
        <v>387</v>
      </c>
      <c r="D2565" s="148" t="s">
        <v>97</v>
      </c>
      <c r="E2565" s="148" t="e">
        <v>#N/A</v>
      </c>
      <c r="F2565" s="148" t="s">
        <v>37</v>
      </c>
    </row>
    <row r="2566" spans="1:6" ht="15.75">
      <c r="A2566" t="str">
        <f t="shared" si="39"/>
        <v>ApplesGazECS</v>
      </c>
      <c r="C2566" s="148" t="s">
        <v>387</v>
      </c>
      <c r="D2566" s="148" t="s">
        <v>239</v>
      </c>
      <c r="E2566" s="148" t="e">
        <v>#N/A</v>
      </c>
      <c r="F2566" s="148" t="s">
        <v>37</v>
      </c>
    </row>
    <row r="2567" spans="1:6" ht="15.75">
      <c r="A2567" t="str">
        <f t="shared" si="39"/>
        <v>ApplesMazoutECS</v>
      </c>
      <c r="C2567" s="148" t="s">
        <v>387</v>
      </c>
      <c r="D2567" s="148" t="s">
        <v>70</v>
      </c>
      <c r="E2567" s="148" t="e">
        <v>#N/A</v>
      </c>
      <c r="F2567" s="148" t="s">
        <v>37</v>
      </c>
    </row>
    <row r="2568" spans="1:6" ht="15.75">
      <c r="A2568" t="str">
        <f t="shared" si="39"/>
        <v>ApplesNon renseignéECS</v>
      </c>
      <c r="C2568" s="148" t="s">
        <v>387</v>
      </c>
      <c r="D2568" s="148" t="s">
        <v>696</v>
      </c>
      <c r="E2568" s="148" t="e">
        <v>#N/A</v>
      </c>
      <c r="F2568" s="148" t="s">
        <v>37</v>
      </c>
    </row>
    <row r="2569" spans="1:6" ht="15.75">
      <c r="A2569" t="str">
        <f t="shared" si="39"/>
        <v>ApplesPACECS</v>
      </c>
      <c r="C2569" s="148" t="s">
        <v>387</v>
      </c>
      <c r="D2569" s="148" t="s">
        <v>69</v>
      </c>
      <c r="E2569" s="148" t="e">
        <v>#N/A</v>
      </c>
      <c r="F2569" s="148" t="s">
        <v>37</v>
      </c>
    </row>
    <row r="2570" spans="1:6" ht="15.75">
      <c r="A2570" t="str">
        <f t="shared" si="39"/>
        <v>ApplesSolaireECS</v>
      </c>
      <c r="C2570" s="148" t="s">
        <v>387</v>
      </c>
      <c r="D2570" s="148" t="s">
        <v>240</v>
      </c>
      <c r="E2570" s="148" t="e">
        <v>#N/A</v>
      </c>
      <c r="F2570" s="148" t="s">
        <v>37</v>
      </c>
    </row>
    <row r="2571" spans="1:6" ht="15.75">
      <c r="A2571" t="str">
        <f t="shared" ref="A2571:A2634" si="40">_xlfn.CONCAT(C2571,D2571,F2571)</f>
        <v>Arnex-sur-NyonBoisECS</v>
      </c>
      <c r="C2571" s="148" t="s">
        <v>671</v>
      </c>
      <c r="D2571" s="148" t="s">
        <v>66</v>
      </c>
      <c r="E2571" s="148" t="e">
        <v>#N/A</v>
      </c>
      <c r="F2571" s="148" t="s">
        <v>37</v>
      </c>
    </row>
    <row r="2572" spans="1:6" ht="15.75">
      <c r="A2572" t="str">
        <f t="shared" si="40"/>
        <v>Arnex-sur-NyonCADECS</v>
      </c>
      <c r="C2572" s="148" t="s">
        <v>671</v>
      </c>
      <c r="D2572" s="148" t="s">
        <v>242</v>
      </c>
      <c r="E2572" s="148" t="e">
        <v>#N/A</v>
      </c>
      <c r="F2572" s="148" t="s">
        <v>37</v>
      </c>
    </row>
    <row r="2573" spans="1:6" ht="15.75">
      <c r="A2573" t="str">
        <f t="shared" si="40"/>
        <v>Arnex-sur-NyonElectricitéECS</v>
      </c>
      <c r="C2573" s="148" t="s">
        <v>671</v>
      </c>
      <c r="D2573" s="148" t="s">
        <v>97</v>
      </c>
      <c r="E2573" s="148">
        <v>82538.088888909988</v>
      </c>
      <c r="F2573" s="148" t="s">
        <v>37</v>
      </c>
    </row>
    <row r="2574" spans="1:6" ht="15.75">
      <c r="A2574" t="str">
        <f t="shared" si="40"/>
        <v>Arnex-sur-NyonGazECS</v>
      </c>
      <c r="C2574" s="148" t="s">
        <v>671</v>
      </c>
      <c r="D2574" s="148" t="s">
        <v>239</v>
      </c>
      <c r="E2574" s="148" t="e">
        <v>#N/A</v>
      </c>
      <c r="F2574" s="148" t="s">
        <v>37</v>
      </c>
    </row>
    <row r="2575" spans="1:6" ht="15.75">
      <c r="A2575" t="str">
        <f t="shared" si="40"/>
        <v>Arnex-sur-NyonMazoutECS</v>
      </c>
      <c r="C2575" s="148" t="s">
        <v>671</v>
      </c>
      <c r="D2575" s="148" t="s">
        <v>70</v>
      </c>
      <c r="E2575" s="148">
        <v>128147.7647059</v>
      </c>
      <c r="F2575" s="148" t="s">
        <v>37</v>
      </c>
    </row>
    <row r="2576" spans="1:6" ht="15.75">
      <c r="A2576" t="str">
        <f t="shared" si="40"/>
        <v>Arnex-sur-NyonNon renseignéECS</v>
      </c>
      <c r="C2576" s="148" t="s">
        <v>671</v>
      </c>
      <c r="D2576" s="148" t="s">
        <v>696</v>
      </c>
      <c r="E2576" s="148">
        <v>0</v>
      </c>
      <c r="F2576" s="148" t="s">
        <v>37</v>
      </c>
    </row>
    <row r="2577" spans="1:6" ht="15.75">
      <c r="A2577" t="str">
        <f t="shared" si="40"/>
        <v>Arnex-sur-NyonPACECS</v>
      </c>
      <c r="C2577" s="148" t="s">
        <v>671</v>
      </c>
      <c r="D2577" s="148" t="s">
        <v>69</v>
      </c>
      <c r="E2577" s="148">
        <v>40617.410256399999</v>
      </c>
      <c r="F2577" s="148" t="s">
        <v>37</v>
      </c>
    </row>
    <row r="2578" spans="1:6" ht="15.75">
      <c r="A2578" t="str">
        <f t="shared" si="40"/>
        <v>Arnex-sur-NyonSolaireECS</v>
      </c>
      <c r="C2578" s="148" t="s">
        <v>671</v>
      </c>
      <c r="D2578" s="148" t="s">
        <v>240</v>
      </c>
      <c r="E2578" s="148">
        <v>41025.600000000006</v>
      </c>
      <c r="F2578" s="148" t="s">
        <v>37</v>
      </c>
    </row>
    <row r="2579" spans="1:6" ht="15.75">
      <c r="A2579" t="str">
        <f t="shared" si="40"/>
        <v>Arnex-sur-OrbeBoisECS</v>
      </c>
      <c r="C2579" s="148" t="s">
        <v>670</v>
      </c>
      <c r="D2579" s="148" t="s">
        <v>66</v>
      </c>
      <c r="E2579" s="148">
        <v>119058.98666666</v>
      </c>
      <c r="F2579" s="148" t="s">
        <v>37</v>
      </c>
    </row>
    <row r="2580" spans="1:6" ht="15.75">
      <c r="A2580" t="str">
        <f t="shared" si="40"/>
        <v>Arnex-sur-OrbeCADECS</v>
      </c>
      <c r="C2580" s="148" t="s">
        <v>670</v>
      </c>
      <c r="D2580" s="148" t="s">
        <v>242</v>
      </c>
      <c r="E2580" s="148" t="e">
        <v>#N/A</v>
      </c>
      <c r="F2580" s="148" t="s">
        <v>37</v>
      </c>
    </row>
    <row r="2581" spans="1:6" ht="15.75">
      <c r="A2581" t="str">
        <f t="shared" si="40"/>
        <v>Arnex-sur-OrbeElectricitéECS</v>
      </c>
      <c r="C2581" s="148" t="s">
        <v>670</v>
      </c>
      <c r="D2581" s="148" t="s">
        <v>97</v>
      </c>
      <c r="E2581" s="148">
        <v>358655.73333331</v>
      </c>
      <c r="F2581" s="148" t="s">
        <v>37</v>
      </c>
    </row>
    <row r="2582" spans="1:6" ht="15.75">
      <c r="A2582" t="str">
        <f t="shared" si="40"/>
        <v>Arnex-sur-OrbeGazECS</v>
      </c>
      <c r="C2582" s="148" t="s">
        <v>670</v>
      </c>
      <c r="D2582" s="148" t="s">
        <v>239</v>
      </c>
      <c r="E2582" s="148">
        <v>380540.23017900996</v>
      </c>
      <c r="F2582" s="148" t="s">
        <v>37</v>
      </c>
    </row>
    <row r="2583" spans="1:6" ht="15.75">
      <c r="A2583" t="str">
        <f t="shared" si="40"/>
        <v>Arnex-sur-OrbeMazoutECS</v>
      </c>
      <c r="C2583" s="148" t="s">
        <v>670</v>
      </c>
      <c r="D2583" s="148" t="s">
        <v>70</v>
      </c>
      <c r="E2583" s="148">
        <v>171289.17647058002</v>
      </c>
      <c r="F2583" s="148" t="s">
        <v>37</v>
      </c>
    </row>
    <row r="2584" spans="1:6" ht="15.75">
      <c r="A2584" t="str">
        <f t="shared" si="40"/>
        <v>Arnex-sur-OrbeNon renseignéECS</v>
      </c>
      <c r="C2584" s="148" t="s">
        <v>670</v>
      </c>
      <c r="D2584" s="148" t="s">
        <v>696</v>
      </c>
      <c r="E2584" s="148">
        <v>0</v>
      </c>
      <c r="F2584" s="148" t="s">
        <v>37</v>
      </c>
    </row>
    <row r="2585" spans="1:6" ht="15.75">
      <c r="A2585" t="str">
        <f t="shared" si="40"/>
        <v>Arnex-sur-OrbePACECS</v>
      </c>
      <c r="C2585" s="148" t="s">
        <v>670</v>
      </c>
      <c r="D2585" s="148" t="s">
        <v>69</v>
      </c>
      <c r="E2585" s="148">
        <v>18552.69230771</v>
      </c>
      <c r="F2585" s="148" t="s">
        <v>37</v>
      </c>
    </row>
    <row r="2586" spans="1:6" ht="15.75">
      <c r="A2586" t="str">
        <f t="shared" si="40"/>
        <v>Arnex-sur-OrbeSolaireECS</v>
      </c>
      <c r="C2586" s="148" t="s">
        <v>670</v>
      </c>
      <c r="D2586" s="148" t="s">
        <v>240</v>
      </c>
      <c r="E2586" s="148">
        <v>88468.333333330011</v>
      </c>
      <c r="F2586" s="148" t="s">
        <v>37</v>
      </c>
    </row>
    <row r="2587" spans="1:6" ht="15.75">
      <c r="A2587" t="str">
        <f t="shared" si="40"/>
        <v>Arzier-Le MuidsAutre agent énergétiqueECS</v>
      </c>
      <c r="C2587" s="148" t="s">
        <v>388</v>
      </c>
      <c r="D2587" s="148" t="s">
        <v>245</v>
      </c>
      <c r="E2587" s="148">
        <v>1146.35294118</v>
      </c>
      <c r="F2587" s="148" t="s">
        <v>37</v>
      </c>
    </row>
    <row r="2588" spans="1:6" ht="15.75">
      <c r="A2588" t="str">
        <f t="shared" si="40"/>
        <v>Arzier-Le MuidsBoisECS</v>
      </c>
      <c r="C2588" s="148" t="s">
        <v>388</v>
      </c>
      <c r="D2588" s="148" t="s">
        <v>66</v>
      </c>
      <c r="E2588" s="148">
        <v>292583.60627452994</v>
      </c>
      <c r="F2588" s="148" t="s">
        <v>37</v>
      </c>
    </row>
    <row r="2589" spans="1:6" ht="15.75">
      <c r="A2589" t="str">
        <f t="shared" si="40"/>
        <v>Arzier-Le MuidsCADECS</v>
      </c>
      <c r="C2589" s="148" t="s">
        <v>388</v>
      </c>
      <c r="D2589" s="148" t="s">
        <v>242</v>
      </c>
      <c r="E2589" s="148">
        <v>94311</v>
      </c>
      <c r="F2589" s="148" t="s">
        <v>37</v>
      </c>
    </row>
    <row r="2590" spans="1:6" ht="15.75">
      <c r="A2590" t="str">
        <f t="shared" si="40"/>
        <v>Arzier-Le MuidsCharbonECS</v>
      </c>
      <c r="C2590" s="148" t="s">
        <v>388</v>
      </c>
      <c r="D2590" s="148" t="s">
        <v>695</v>
      </c>
      <c r="E2590" s="148" t="e">
        <v>#N/A</v>
      </c>
      <c r="F2590" s="148" t="s">
        <v>37</v>
      </c>
    </row>
    <row r="2591" spans="1:6" ht="15.75">
      <c r="A2591" t="str">
        <f t="shared" si="40"/>
        <v>Arzier-Le MuidsElectricitéECS</v>
      </c>
      <c r="C2591" s="148" t="s">
        <v>388</v>
      </c>
      <c r="D2591" s="148" t="s">
        <v>97</v>
      </c>
      <c r="E2591" s="148">
        <v>1124739.7777778003</v>
      </c>
      <c r="F2591" s="148" t="s">
        <v>37</v>
      </c>
    </row>
    <row r="2592" spans="1:6" ht="15.75">
      <c r="A2592" t="str">
        <f t="shared" si="40"/>
        <v>Arzier-Le MuidsGazECS</v>
      </c>
      <c r="C2592" s="148" t="s">
        <v>388</v>
      </c>
      <c r="D2592" s="148" t="s">
        <v>239</v>
      </c>
      <c r="E2592" s="148">
        <v>80921.861892579996</v>
      </c>
      <c r="F2592" s="148" t="s">
        <v>37</v>
      </c>
    </row>
    <row r="2593" spans="1:6" ht="15.75">
      <c r="A2593" t="str">
        <f t="shared" si="40"/>
        <v>Arzier-Le MuidsMazoutECS</v>
      </c>
      <c r="C2593" s="148" t="s">
        <v>388</v>
      </c>
      <c r="D2593" s="148" t="s">
        <v>70</v>
      </c>
      <c r="E2593" s="148">
        <v>1290220.2352941106</v>
      </c>
      <c r="F2593" s="148" t="s">
        <v>37</v>
      </c>
    </row>
    <row r="2594" spans="1:6" ht="15.75">
      <c r="A2594" t="str">
        <f t="shared" si="40"/>
        <v>Arzier-Le MuidsNon renseignéECS</v>
      </c>
      <c r="C2594" s="148" t="s">
        <v>388</v>
      </c>
      <c r="D2594" s="148" t="s">
        <v>696</v>
      </c>
      <c r="E2594" s="148">
        <v>0</v>
      </c>
      <c r="F2594" s="148" t="s">
        <v>37</v>
      </c>
    </row>
    <row r="2595" spans="1:6" ht="15.75">
      <c r="A2595" t="str">
        <f t="shared" si="40"/>
        <v>Arzier-Le MuidsPACECS</v>
      </c>
      <c r="C2595" s="148" t="s">
        <v>388</v>
      </c>
      <c r="D2595" s="148" t="s">
        <v>69</v>
      </c>
      <c r="E2595" s="148">
        <v>144208.57723271998</v>
      </c>
      <c r="F2595" s="148" t="s">
        <v>37</v>
      </c>
    </row>
    <row r="2596" spans="1:6" ht="15.75">
      <c r="A2596" t="str">
        <f t="shared" si="40"/>
        <v>Arzier-Le MuidsSolaireECS</v>
      </c>
      <c r="C2596" s="148" t="s">
        <v>388</v>
      </c>
      <c r="D2596" s="148" t="s">
        <v>240</v>
      </c>
      <c r="E2596" s="148">
        <v>392145.04</v>
      </c>
      <c r="F2596" s="148" t="s">
        <v>37</v>
      </c>
    </row>
    <row r="2597" spans="1:6" ht="15.75">
      <c r="A2597" t="str">
        <f t="shared" si="40"/>
        <v>AssensAutre agent énergétiqueECS</v>
      </c>
      <c r="C2597" s="148" t="s">
        <v>389</v>
      </c>
      <c r="D2597" s="148" t="s">
        <v>245</v>
      </c>
      <c r="E2597" s="148">
        <v>5889.8823529399997</v>
      </c>
      <c r="F2597" s="148" t="s">
        <v>37</v>
      </c>
    </row>
    <row r="2598" spans="1:6" ht="15.75">
      <c r="A2598" t="str">
        <f t="shared" si="40"/>
        <v>AssensBoisECS</v>
      </c>
      <c r="C2598" s="148" t="s">
        <v>389</v>
      </c>
      <c r="D2598" s="148" t="s">
        <v>66</v>
      </c>
      <c r="E2598" s="148">
        <v>193608.25098039999</v>
      </c>
      <c r="F2598" s="148" t="s">
        <v>37</v>
      </c>
    </row>
    <row r="2599" spans="1:6" ht="15.75">
      <c r="A2599" t="str">
        <f t="shared" si="40"/>
        <v>AssensElectricitéECS</v>
      </c>
      <c r="C2599" s="148" t="s">
        <v>389</v>
      </c>
      <c r="D2599" s="148" t="s">
        <v>97</v>
      </c>
      <c r="E2599" s="148">
        <v>359917.59999995981</v>
      </c>
      <c r="F2599" s="148" t="s">
        <v>37</v>
      </c>
    </row>
    <row r="2600" spans="1:6" ht="15.75">
      <c r="A2600" t="str">
        <f t="shared" si="40"/>
        <v>AssensGazECS</v>
      </c>
      <c r="C2600" s="148" t="s">
        <v>389</v>
      </c>
      <c r="D2600" s="148" t="s">
        <v>239</v>
      </c>
      <c r="E2600" s="148">
        <v>809250.02046038012</v>
      </c>
      <c r="F2600" s="148" t="s">
        <v>37</v>
      </c>
    </row>
    <row r="2601" spans="1:6" ht="15.75">
      <c r="A2601" t="str">
        <f t="shared" si="40"/>
        <v>AssensMazoutECS</v>
      </c>
      <c r="C2601" s="148" t="s">
        <v>389</v>
      </c>
      <c r="D2601" s="148" t="s">
        <v>70</v>
      </c>
      <c r="E2601" s="148">
        <v>750083.76470592956</v>
      </c>
      <c r="F2601" s="148" t="s">
        <v>37</v>
      </c>
    </row>
    <row r="2602" spans="1:6" ht="15.75">
      <c r="A2602" t="str">
        <f t="shared" si="40"/>
        <v>AssensNon renseignéECS</v>
      </c>
      <c r="C2602" s="148" t="s">
        <v>389</v>
      </c>
      <c r="D2602" s="148" t="s">
        <v>696</v>
      </c>
      <c r="E2602" s="148">
        <v>0</v>
      </c>
      <c r="F2602" s="148" t="s">
        <v>37</v>
      </c>
    </row>
    <row r="2603" spans="1:6" ht="15.75">
      <c r="A2603" t="str">
        <f t="shared" si="40"/>
        <v>AssensPACECS</v>
      </c>
      <c r="C2603" s="148" t="s">
        <v>389</v>
      </c>
      <c r="D2603" s="148" t="s">
        <v>69</v>
      </c>
      <c r="E2603" s="148">
        <v>25875.88628762</v>
      </c>
      <c r="F2603" s="148" t="s">
        <v>37</v>
      </c>
    </row>
    <row r="2604" spans="1:6" ht="15.75">
      <c r="A2604" t="str">
        <f t="shared" si="40"/>
        <v>AssensSolaireECS</v>
      </c>
      <c r="C2604" s="148" t="s">
        <v>389</v>
      </c>
      <c r="D2604" s="148" t="s">
        <v>240</v>
      </c>
      <c r="E2604" s="148">
        <v>208289.2</v>
      </c>
      <c r="F2604" s="148" t="s">
        <v>37</v>
      </c>
    </row>
    <row r="2605" spans="1:6" ht="15.75">
      <c r="A2605" t="str">
        <f t="shared" si="40"/>
        <v>AubonneAutre agent énergétiqueECS</v>
      </c>
      <c r="C2605" s="148" t="s">
        <v>390</v>
      </c>
      <c r="D2605" s="148" t="s">
        <v>245</v>
      </c>
      <c r="E2605" s="148">
        <v>57169.411764709999</v>
      </c>
      <c r="F2605" s="148" t="s">
        <v>37</v>
      </c>
    </row>
    <row r="2606" spans="1:6" ht="15.75">
      <c r="A2606" t="str">
        <f t="shared" si="40"/>
        <v>AubonneBoisECS</v>
      </c>
      <c r="C2606" s="148" t="s">
        <v>390</v>
      </c>
      <c r="D2606" s="148" t="s">
        <v>66</v>
      </c>
      <c r="E2606" s="148">
        <v>412594.38431370998</v>
      </c>
      <c r="F2606" s="148" t="s">
        <v>37</v>
      </c>
    </row>
    <row r="2607" spans="1:6" ht="15.75">
      <c r="A2607" t="str">
        <f t="shared" si="40"/>
        <v>AubonneElectricitéECS</v>
      </c>
      <c r="C2607" s="148" t="s">
        <v>390</v>
      </c>
      <c r="D2607" s="148" t="s">
        <v>97</v>
      </c>
      <c r="E2607" s="148">
        <v>1318100.9468599404</v>
      </c>
      <c r="F2607" s="148" t="s">
        <v>37</v>
      </c>
    </row>
    <row r="2608" spans="1:6" ht="15.75">
      <c r="A2608" t="str">
        <f t="shared" si="40"/>
        <v>AubonneGazECS</v>
      </c>
      <c r="C2608" s="148" t="s">
        <v>390</v>
      </c>
      <c r="D2608" s="148" t="s">
        <v>239</v>
      </c>
      <c r="E2608" s="148">
        <v>2254327.4782608696</v>
      </c>
      <c r="F2608" s="148" t="s">
        <v>37</v>
      </c>
    </row>
    <row r="2609" spans="1:6" ht="15.75">
      <c r="A2609" t="str">
        <f t="shared" si="40"/>
        <v>AubonneMazoutECS</v>
      </c>
      <c r="C2609" s="148" t="s">
        <v>390</v>
      </c>
      <c r="D2609" s="148" t="s">
        <v>70</v>
      </c>
      <c r="E2609" s="148">
        <v>2203820.376470549</v>
      </c>
      <c r="F2609" s="148" t="s">
        <v>37</v>
      </c>
    </row>
    <row r="2610" spans="1:6" ht="15.75">
      <c r="A2610" t="str">
        <f t="shared" si="40"/>
        <v>AubonneNon renseignéECS</v>
      </c>
      <c r="C2610" s="148" t="s">
        <v>390</v>
      </c>
      <c r="D2610" s="148" t="s">
        <v>696</v>
      </c>
      <c r="E2610" s="148">
        <v>0</v>
      </c>
      <c r="F2610" s="148" t="s">
        <v>37</v>
      </c>
    </row>
    <row r="2611" spans="1:6" ht="15.75">
      <c r="A2611" t="str">
        <f t="shared" si="40"/>
        <v>AubonnePACECS</v>
      </c>
      <c r="C2611" s="148" t="s">
        <v>390</v>
      </c>
      <c r="D2611" s="148" t="s">
        <v>69</v>
      </c>
      <c r="E2611" s="148">
        <v>32891.590982280002</v>
      </c>
      <c r="F2611" s="148" t="s">
        <v>37</v>
      </c>
    </row>
    <row r="2612" spans="1:6" ht="15.75">
      <c r="A2612" t="str">
        <f t="shared" si="40"/>
        <v>AubonneSolaireECS</v>
      </c>
      <c r="C2612" s="148" t="s">
        <v>390</v>
      </c>
      <c r="D2612" s="148" t="s">
        <v>240</v>
      </c>
      <c r="E2612" s="148">
        <v>285903.09999999998</v>
      </c>
      <c r="F2612" s="148" t="s">
        <v>37</v>
      </c>
    </row>
    <row r="2613" spans="1:6" ht="15.75">
      <c r="A2613" t="str">
        <f t="shared" si="40"/>
        <v>AvenchesAutre agent énergétiqueECS</v>
      </c>
      <c r="C2613" s="148" t="s">
        <v>391</v>
      </c>
      <c r="D2613" s="148" t="s">
        <v>245</v>
      </c>
      <c r="E2613" s="148">
        <v>53984</v>
      </c>
      <c r="F2613" s="148" t="s">
        <v>37</v>
      </c>
    </row>
    <row r="2614" spans="1:6" ht="15.75">
      <c r="A2614" t="str">
        <f t="shared" si="40"/>
        <v>AvenchesBoisECS</v>
      </c>
      <c r="C2614" s="148" t="s">
        <v>391</v>
      </c>
      <c r="D2614" s="148" t="s">
        <v>66</v>
      </c>
      <c r="E2614" s="148">
        <v>483315.75215685007</v>
      </c>
      <c r="F2614" s="148" t="s">
        <v>37</v>
      </c>
    </row>
    <row r="2615" spans="1:6" ht="15.75">
      <c r="A2615" t="str">
        <f t="shared" si="40"/>
        <v>AvenchesCADECS</v>
      </c>
      <c r="C2615" s="148" t="s">
        <v>391</v>
      </c>
      <c r="D2615" s="148" t="s">
        <v>242</v>
      </c>
      <c r="E2615" s="148">
        <v>2748285.0000000005</v>
      </c>
      <c r="F2615" s="148" t="s">
        <v>37</v>
      </c>
    </row>
    <row r="2616" spans="1:6" ht="15.75">
      <c r="A2616" t="str">
        <f t="shared" si="40"/>
        <v>AvenchesElectricitéECS</v>
      </c>
      <c r="C2616" s="148" t="s">
        <v>391</v>
      </c>
      <c r="D2616" s="148" t="s">
        <v>97</v>
      </c>
      <c r="E2616" s="148">
        <v>1718881.4222222101</v>
      </c>
      <c r="F2616" s="148" t="s">
        <v>37</v>
      </c>
    </row>
    <row r="2617" spans="1:6" ht="15.75">
      <c r="A2617" t="str">
        <f t="shared" si="40"/>
        <v>AvenchesGazECS</v>
      </c>
      <c r="C2617" s="148" t="s">
        <v>391</v>
      </c>
      <c r="D2617" s="148" t="s">
        <v>239</v>
      </c>
      <c r="E2617" s="148">
        <v>176308.79590793003</v>
      </c>
      <c r="F2617" s="148" t="s">
        <v>37</v>
      </c>
    </row>
    <row r="2618" spans="1:6" ht="15.75">
      <c r="A2618" t="str">
        <f t="shared" si="40"/>
        <v>AvenchesMazoutECS</v>
      </c>
      <c r="C2618" s="148" t="s">
        <v>391</v>
      </c>
      <c r="D2618" s="148" t="s">
        <v>70</v>
      </c>
      <c r="E2618" s="148">
        <v>2791953.8967913999</v>
      </c>
      <c r="F2618" s="148" t="s">
        <v>37</v>
      </c>
    </row>
    <row r="2619" spans="1:6" ht="15.75">
      <c r="A2619" t="str">
        <f t="shared" si="40"/>
        <v>AvenchesNon renseignéECS</v>
      </c>
      <c r="C2619" s="148" t="s">
        <v>391</v>
      </c>
      <c r="D2619" s="148" t="s">
        <v>696</v>
      </c>
      <c r="E2619" s="148">
        <v>0</v>
      </c>
      <c r="F2619" s="148" t="s">
        <v>37</v>
      </c>
    </row>
    <row r="2620" spans="1:6" ht="15.75">
      <c r="A2620" t="str">
        <f t="shared" si="40"/>
        <v>AvenchesPACECS</v>
      </c>
      <c r="C2620" s="148" t="s">
        <v>391</v>
      </c>
      <c r="D2620" s="148" t="s">
        <v>69</v>
      </c>
      <c r="E2620" s="148">
        <v>56285.889260520002</v>
      </c>
      <c r="F2620" s="148" t="s">
        <v>37</v>
      </c>
    </row>
    <row r="2621" spans="1:6" ht="15.75">
      <c r="A2621" t="str">
        <f t="shared" si="40"/>
        <v>AvenchesSolaireECS</v>
      </c>
      <c r="C2621" s="148" t="s">
        <v>391</v>
      </c>
      <c r="D2621" s="148" t="s">
        <v>240</v>
      </c>
      <c r="E2621" s="148">
        <v>187682.59999999995</v>
      </c>
      <c r="F2621" s="148" t="s">
        <v>37</v>
      </c>
    </row>
    <row r="2622" spans="1:6" ht="15.75">
      <c r="A2622" t="str">
        <f t="shared" si="40"/>
        <v>BallaiguesAutre agent énergétiqueECS</v>
      </c>
      <c r="C2622" s="148" t="s">
        <v>392</v>
      </c>
      <c r="D2622" s="148" t="s">
        <v>245</v>
      </c>
      <c r="E2622" s="148">
        <v>68306.164705880001</v>
      </c>
      <c r="F2622" s="148" t="s">
        <v>37</v>
      </c>
    </row>
    <row r="2623" spans="1:6" ht="15.75">
      <c r="A2623" t="str">
        <f t="shared" si="40"/>
        <v>BallaiguesBoisECS</v>
      </c>
      <c r="C2623" s="148" t="s">
        <v>392</v>
      </c>
      <c r="D2623" s="148" t="s">
        <v>66</v>
      </c>
      <c r="E2623" s="148">
        <v>116423.60470588002</v>
      </c>
      <c r="F2623" s="148" t="s">
        <v>37</v>
      </c>
    </row>
    <row r="2624" spans="1:6" ht="15.75">
      <c r="A2624" t="str">
        <f t="shared" si="40"/>
        <v>BallaiguesCADECS</v>
      </c>
      <c r="C2624" s="148" t="s">
        <v>392</v>
      </c>
      <c r="D2624" s="148" t="s">
        <v>242</v>
      </c>
      <c r="E2624" s="148" t="e">
        <v>#N/A</v>
      </c>
      <c r="F2624" s="148" t="s">
        <v>37</v>
      </c>
    </row>
    <row r="2625" spans="1:6" ht="15.75">
      <c r="A2625" t="str">
        <f t="shared" si="40"/>
        <v>BallaiguesElectricitéECS</v>
      </c>
      <c r="C2625" s="148" t="s">
        <v>392</v>
      </c>
      <c r="D2625" s="148" t="s">
        <v>97</v>
      </c>
      <c r="E2625" s="148">
        <v>325727.11111113004</v>
      </c>
      <c r="F2625" s="148" t="s">
        <v>37</v>
      </c>
    </row>
    <row r="2626" spans="1:6" ht="15.75">
      <c r="A2626" t="str">
        <f t="shared" si="40"/>
        <v>BallaiguesGazECS</v>
      </c>
      <c r="C2626" s="148" t="s">
        <v>392</v>
      </c>
      <c r="D2626" s="148" t="s">
        <v>239</v>
      </c>
      <c r="E2626" s="148">
        <v>852666.2544757101</v>
      </c>
      <c r="F2626" s="148" t="s">
        <v>37</v>
      </c>
    </row>
    <row r="2627" spans="1:6" ht="15.75">
      <c r="A2627" t="str">
        <f t="shared" si="40"/>
        <v>BallaiguesMazoutECS</v>
      </c>
      <c r="C2627" s="148" t="s">
        <v>392</v>
      </c>
      <c r="D2627" s="148" t="s">
        <v>70</v>
      </c>
      <c r="E2627" s="148">
        <v>622364.23529411014</v>
      </c>
      <c r="F2627" s="148" t="s">
        <v>37</v>
      </c>
    </row>
    <row r="2628" spans="1:6" ht="15.75">
      <c r="A2628" t="str">
        <f t="shared" si="40"/>
        <v>BallaiguesNon renseignéECS</v>
      </c>
      <c r="C2628" s="148" t="s">
        <v>392</v>
      </c>
      <c r="D2628" s="148" t="s">
        <v>696</v>
      </c>
      <c r="E2628" s="148">
        <v>0</v>
      </c>
      <c r="F2628" s="148" t="s">
        <v>37</v>
      </c>
    </row>
    <row r="2629" spans="1:6" ht="15.75">
      <c r="A2629" t="str">
        <f t="shared" si="40"/>
        <v>BallaiguesPACECS</v>
      </c>
      <c r="C2629" s="148" t="s">
        <v>392</v>
      </c>
      <c r="D2629" s="148" t="s">
        <v>69</v>
      </c>
      <c r="E2629" s="148">
        <v>15555.076923089999</v>
      </c>
      <c r="F2629" s="148" t="s">
        <v>37</v>
      </c>
    </row>
    <row r="2630" spans="1:6" ht="15.75">
      <c r="A2630" t="str">
        <f t="shared" si="40"/>
        <v>BallaiguesSolaireECS</v>
      </c>
      <c r="C2630" s="148" t="s">
        <v>392</v>
      </c>
      <c r="D2630" s="148" t="s">
        <v>240</v>
      </c>
      <c r="E2630" s="148">
        <v>58939.999999999993</v>
      </c>
      <c r="F2630" s="148" t="s">
        <v>37</v>
      </c>
    </row>
    <row r="2631" spans="1:6" ht="15.75">
      <c r="A2631" t="str">
        <f t="shared" si="40"/>
        <v>BallensBoisECS</v>
      </c>
      <c r="C2631" s="148" t="s">
        <v>393</v>
      </c>
      <c r="D2631" s="148" t="s">
        <v>66</v>
      </c>
      <c r="E2631" s="148">
        <v>62873.967058840004</v>
      </c>
      <c r="F2631" s="148" t="s">
        <v>37</v>
      </c>
    </row>
    <row r="2632" spans="1:6" ht="15.75">
      <c r="A2632" t="str">
        <f t="shared" si="40"/>
        <v>BallensElectricitéECS</v>
      </c>
      <c r="C2632" s="148" t="s">
        <v>393</v>
      </c>
      <c r="D2632" s="148" t="s">
        <v>97</v>
      </c>
      <c r="E2632" s="148">
        <v>332957.33333336015</v>
      </c>
      <c r="F2632" s="148" t="s">
        <v>37</v>
      </c>
    </row>
    <row r="2633" spans="1:6" ht="15.75">
      <c r="A2633" t="str">
        <f t="shared" si="40"/>
        <v>BallensGazECS</v>
      </c>
      <c r="C2633" s="148" t="s">
        <v>393</v>
      </c>
      <c r="D2633" s="148" t="s">
        <v>239</v>
      </c>
      <c r="E2633" s="148">
        <v>150092.81841435999</v>
      </c>
      <c r="F2633" s="148" t="s">
        <v>37</v>
      </c>
    </row>
    <row r="2634" spans="1:6" ht="15.75">
      <c r="A2634" t="str">
        <f t="shared" si="40"/>
        <v>BallensMazoutECS</v>
      </c>
      <c r="C2634" s="148" t="s">
        <v>393</v>
      </c>
      <c r="D2634" s="148" t="s">
        <v>70</v>
      </c>
      <c r="E2634" s="148">
        <v>344222.1176470301</v>
      </c>
      <c r="F2634" s="148" t="s">
        <v>37</v>
      </c>
    </row>
    <row r="2635" spans="1:6" ht="15.75">
      <c r="A2635" t="str">
        <f t="shared" ref="A2635:A2698" si="41">_xlfn.CONCAT(C2635,D2635,F2635)</f>
        <v>BallensNon renseignéECS</v>
      </c>
      <c r="C2635" s="148" t="s">
        <v>393</v>
      </c>
      <c r="D2635" s="148" t="s">
        <v>696</v>
      </c>
      <c r="E2635" s="148">
        <v>0</v>
      </c>
      <c r="F2635" s="148" t="s">
        <v>37</v>
      </c>
    </row>
    <row r="2636" spans="1:6" ht="15.75">
      <c r="A2636" t="str">
        <f t="shared" si="41"/>
        <v>BallensPACECS</v>
      </c>
      <c r="C2636" s="148" t="s">
        <v>393</v>
      </c>
      <c r="D2636" s="148" t="s">
        <v>69</v>
      </c>
      <c r="E2636" s="148">
        <v>1168.6956521699999</v>
      </c>
      <c r="F2636" s="148" t="s">
        <v>37</v>
      </c>
    </row>
    <row r="2637" spans="1:6" ht="15.75">
      <c r="A2637" t="str">
        <f t="shared" si="41"/>
        <v>BallensSolaireECS</v>
      </c>
      <c r="C2637" s="148" t="s">
        <v>393</v>
      </c>
      <c r="D2637" s="148" t="s">
        <v>240</v>
      </c>
      <c r="E2637" s="148">
        <v>65802.799999999988</v>
      </c>
      <c r="F2637" s="148" t="s">
        <v>37</v>
      </c>
    </row>
    <row r="2638" spans="1:6" ht="15.75">
      <c r="A2638" t="str">
        <f t="shared" si="41"/>
        <v>BassinsBoisECS</v>
      </c>
      <c r="C2638" s="148" t="s">
        <v>394</v>
      </c>
      <c r="D2638" s="148" t="s">
        <v>66</v>
      </c>
      <c r="E2638" s="148">
        <v>430296.28235296981</v>
      </c>
      <c r="F2638" s="148" t="s">
        <v>37</v>
      </c>
    </row>
    <row r="2639" spans="1:6" ht="15.75">
      <c r="A2639" t="str">
        <f t="shared" si="41"/>
        <v>BassinsCADECS</v>
      </c>
      <c r="C2639" s="148" t="s">
        <v>394</v>
      </c>
      <c r="D2639" s="148" t="s">
        <v>242</v>
      </c>
      <c r="E2639" s="148">
        <v>44766.400000000001</v>
      </c>
      <c r="F2639" s="148" t="s">
        <v>37</v>
      </c>
    </row>
    <row r="2640" spans="1:6" ht="15.75">
      <c r="A2640" t="str">
        <f t="shared" si="41"/>
        <v>BassinsElectricitéECS</v>
      </c>
      <c r="C2640" s="148" t="s">
        <v>394</v>
      </c>
      <c r="D2640" s="148" t="s">
        <v>97</v>
      </c>
      <c r="E2640" s="148">
        <v>438813.20000001037</v>
      </c>
      <c r="F2640" s="148" t="s">
        <v>37</v>
      </c>
    </row>
    <row r="2641" spans="1:6" ht="15.75">
      <c r="A2641" t="str">
        <f t="shared" si="41"/>
        <v>BassinsGazECS</v>
      </c>
      <c r="C2641" s="148" t="s">
        <v>394</v>
      </c>
      <c r="D2641" s="148" t="s">
        <v>239</v>
      </c>
      <c r="E2641" s="148">
        <v>68905.833759599991</v>
      </c>
      <c r="F2641" s="148" t="s">
        <v>37</v>
      </c>
    </row>
    <row r="2642" spans="1:6" ht="15.75">
      <c r="A2642" t="str">
        <f t="shared" si="41"/>
        <v>BassinsMazoutECS</v>
      </c>
      <c r="C2642" s="148" t="s">
        <v>394</v>
      </c>
      <c r="D2642" s="148" t="s">
        <v>70</v>
      </c>
      <c r="E2642" s="148">
        <v>878025.64705876051</v>
      </c>
      <c r="F2642" s="148" t="s">
        <v>37</v>
      </c>
    </row>
    <row r="2643" spans="1:6" ht="15.75">
      <c r="A2643" t="str">
        <f t="shared" si="41"/>
        <v>BassinsNon renseignéECS</v>
      </c>
      <c r="C2643" s="148" t="s">
        <v>394</v>
      </c>
      <c r="D2643" s="148" t="s">
        <v>696</v>
      </c>
      <c r="E2643" s="148">
        <v>0</v>
      </c>
      <c r="F2643" s="148" t="s">
        <v>37</v>
      </c>
    </row>
    <row r="2644" spans="1:6" ht="15.75">
      <c r="A2644" t="str">
        <f t="shared" si="41"/>
        <v>BassinsPACECS</v>
      </c>
      <c r="C2644" s="148" t="s">
        <v>394</v>
      </c>
      <c r="D2644" s="148" t="s">
        <v>69</v>
      </c>
      <c r="E2644" s="148">
        <v>20154.726371860001</v>
      </c>
      <c r="F2644" s="148" t="s">
        <v>37</v>
      </c>
    </row>
    <row r="2645" spans="1:6" ht="15.75">
      <c r="A2645" t="str">
        <f t="shared" si="41"/>
        <v>BassinsSolaireECS</v>
      </c>
      <c r="C2645" s="148" t="s">
        <v>394</v>
      </c>
      <c r="D2645" s="148" t="s">
        <v>240</v>
      </c>
      <c r="E2645" s="148">
        <v>73039.400000000009</v>
      </c>
      <c r="F2645" s="148" t="s">
        <v>37</v>
      </c>
    </row>
    <row r="2646" spans="1:6" ht="15.75">
      <c r="A2646" t="str">
        <f t="shared" si="41"/>
        <v>BaulmesBoisECS</v>
      </c>
      <c r="C2646" s="148" t="s">
        <v>395</v>
      </c>
      <c r="D2646" s="148" t="s">
        <v>66</v>
      </c>
      <c r="E2646" s="148">
        <v>351060.10196077998</v>
      </c>
      <c r="F2646" s="148" t="s">
        <v>37</v>
      </c>
    </row>
    <row r="2647" spans="1:6" ht="15.75">
      <c r="A2647" t="str">
        <f t="shared" si="41"/>
        <v>BaulmesCADECS</v>
      </c>
      <c r="C2647" s="148" t="s">
        <v>395</v>
      </c>
      <c r="D2647" s="148" t="s">
        <v>242</v>
      </c>
      <c r="E2647" s="148">
        <v>533243.76</v>
      </c>
      <c r="F2647" s="148" t="s">
        <v>37</v>
      </c>
    </row>
    <row r="2648" spans="1:6" ht="15.75">
      <c r="A2648" t="str">
        <f t="shared" si="41"/>
        <v>BaulmesElectricitéECS</v>
      </c>
      <c r="C2648" s="148" t="s">
        <v>395</v>
      </c>
      <c r="D2648" s="148" t="s">
        <v>97</v>
      </c>
      <c r="E2648" s="148">
        <v>244338.88888890002</v>
      </c>
      <c r="F2648" s="148" t="s">
        <v>37</v>
      </c>
    </row>
    <row r="2649" spans="1:6" ht="15.75">
      <c r="A2649" t="str">
        <f t="shared" si="41"/>
        <v>BaulmesGazECS</v>
      </c>
      <c r="C2649" s="148" t="s">
        <v>395</v>
      </c>
      <c r="D2649" s="148" t="s">
        <v>239</v>
      </c>
      <c r="E2649" s="148">
        <v>15232</v>
      </c>
      <c r="F2649" s="148" t="s">
        <v>37</v>
      </c>
    </row>
    <row r="2650" spans="1:6" ht="15.75">
      <c r="A2650" t="str">
        <f t="shared" si="41"/>
        <v>BaulmesMazoutECS</v>
      </c>
      <c r="C2650" s="148" t="s">
        <v>395</v>
      </c>
      <c r="D2650" s="148" t="s">
        <v>70</v>
      </c>
      <c r="E2650" s="148">
        <v>733033.41176470998</v>
      </c>
      <c r="F2650" s="148" t="s">
        <v>37</v>
      </c>
    </row>
    <row r="2651" spans="1:6" ht="15.75">
      <c r="A2651" t="str">
        <f t="shared" si="41"/>
        <v>BaulmesNon renseignéECS</v>
      </c>
      <c r="C2651" s="148" t="s">
        <v>395</v>
      </c>
      <c r="D2651" s="148" t="s">
        <v>696</v>
      </c>
      <c r="E2651" s="148">
        <v>0</v>
      </c>
      <c r="F2651" s="148" t="s">
        <v>37</v>
      </c>
    </row>
    <row r="2652" spans="1:6" ht="15.75">
      <c r="A2652" t="str">
        <f t="shared" si="41"/>
        <v>BaulmesPACECS</v>
      </c>
      <c r="C2652" s="148" t="s">
        <v>395</v>
      </c>
      <c r="D2652" s="148" t="s">
        <v>69</v>
      </c>
      <c r="E2652" s="148">
        <v>17943.9264214</v>
      </c>
      <c r="F2652" s="148" t="s">
        <v>37</v>
      </c>
    </row>
    <row r="2653" spans="1:6" ht="15.75">
      <c r="A2653" t="str">
        <f t="shared" si="41"/>
        <v>BaulmesAutre agent énergétiqueECS</v>
      </c>
      <c r="C2653" s="148" t="s">
        <v>395</v>
      </c>
      <c r="D2653" s="148" t="s">
        <v>245</v>
      </c>
      <c r="E2653" s="148">
        <v>1976.4705882400001</v>
      </c>
      <c r="F2653" s="148" t="s">
        <v>37</v>
      </c>
    </row>
    <row r="2654" spans="1:6" ht="15.75">
      <c r="A2654" t="str">
        <f t="shared" si="41"/>
        <v>BaulmesSolaireECS</v>
      </c>
      <c r="C2654" s="148" t="s">
        <v>395</v>
      </c>
      <c r="D2654" s="148" t="s">
        <v>240</v>
      </c>
      <c r="E2654" s="148">
        <v>6596.8</v>
      </c>
      <c r="F2654" s="148" t="s">
        <v>37</v>
      </c>
    </row>
    <row r="2655" spans="1:6" ht="15.75">
      <c r="A2655" t="str">
        <f t="shared" si="41"/>
        <v>BavoisAutre agent énergétiqueECS</v>
      </c>
      <c r="C2655" s="148" t="s">
        <v>396</v>
      </c>
      <c r="D2655" s="148" t="s">
        <v>245</v>
      </c>
      <c r="E2655" s="148">
        <v>1897.4117647099999</v>
      </c>
      <c r="F2655" s="148" t="s">
        <v>37</v>
      </c>
    </row>
    <row r="2656" spans="1:6" ht="15.75">
      <c r="A2656" t="str">
        <f t="shared" si="41"/>
        <v>BavoisBoisECS</v>
      </c>
      <c r="C2656" s="148" t="s">
        <v>396</v>
      </c>
      <c r="D2656" s="148" t="s">
        <v>66</v>
      </c>
      <c r="E2656" s="148">
        <v>91910.054901980009</v>
      </c>
      <c r="F2656" s="148" t="s">
        <v>37</v>
      </c>
    </row>
    <row r="2657" spans="1:6" ht="15.75">
      <c r="A2657" t="str">
        <f t="shared" si="41"/>
        <v>BavoisCADECS</v>
      </c>
      <c r="C2657" s="148" t="s">
        <v>396</v>
      </c>
      <c r="D2657" s="148" t="s">
        <v>242</v>
      </c>
      <c r="E2657" s="148">
        <v>23828</v>
      </c>
      <c r="F2657" s="148" t="s">
        <v>37</v>
      </c>
    </row>
    <row r="2658" spans="1:6" ht="15.75">
      <c r="A2658" t="str">
        <f t="shared" si="41"/>
        <v>BavoisElectricitéECS</v>
      </c>
      <c r="C2658" s="148" t="s">
        <v>396</v>
      </c>
      <c r="D2658" s="148" t="s">
        <v>97</v>
      </c>
      <c r="E2658" s="148">
        <v>385728.62222225987</v>
      </c>
      <c r="F2658" s="148" t="s">
        <v>37</v>
      </c>
    </row>
    <row r="2659" spans="1:6" ht="15.75">
      <c r="A2659" t="str">
        <f t="shared" si="41"/>
        <v>BavoisGazECS</v>
      </c>
      <c r="C2659" s="148" t="s">
        <v>396</v>
      </c>
      <c r="D2659" s="148" t="s">
        <v>239</v>
      </c>
      <c r="E2659" s="148">
        <v>46320.038363169995</v>
      </c>
      <c r="F2659" s="148" t="s">
        <v>37</v>
      </c>
    </row>
    <row r="2660" spans="1:6" ht="15.75">
      <c r="A2660" t="str">
        <f t="shared" si="41"/>
        <v>BavoisMazoutECS</v>
      </c>
      <c r="C2660" s="148" t="s">
        <v>396</v>
      </c>
      <c r="D2660" s="148" t="s">
        <v>70</v>
      </c>
      <c r="E2660" s="148">
        <v>749125.60234472028</v>
      </c>
      <c r="F2660" s="148" t="s">
        <v>37</v>
      </c>
    </row>
    <row r="2661" spans="1:6" ht="15.75">
      <c r="A2661" t="str">
        <f t="shared" si="41"/>
        <v>BavoisNon renseignéECS</v>
      </c>
      <c r="C2661" s="148" t="s">
        <v>396</v>
      </c>
      <c r="D2661" s="148" t="s">
        <v>696</v>
      </c>
      <c r="E2661" s="148">
        <v>0</v>
      </c>
      <c r="F2661" s="148" t="s">
        <v>37</v>
      </c>
    </row>
    <row r="2662" spans="1:6" ht="15.75">
      <c r="A2662" t="str">
        <f t="shared" si="41"/>
        <v>BavoisPACECS</v>
      </c>
      <c r="C2662" s="148" t="s">
        <v>396</v>
      </c>
      <c r="D2662" s="148" t="s">
        <v>69</v>
      </c>
      <c r="E2662" s="148">
        <v>44412.879970259986</v>
      </c>
      <c r="F2662" s="148" t="s">
        <v>37</v>
      </c>
    </row>
    <row r="2663" spans="1:6" ht="15.75">
      <c r="A2663" t="str">
        <f t="shared" si="41"/>
        <v>BavoisSolaireECS</v>
      </c>
      <c r="C2663" s="148" t="s">
        <v>396</v>
      </c>
      <c r="D2663" s="148" t="s">
        <v>240</v>
      </c>
      <c r="E2663" s="148">
        <v>76345.5</v>
      </c>
      <c r="F2663" s="148" t="s">
        <v>37</v>
      </c>
    </row>
    <row r="2664" spans="1:6" ht="15.75">
      <c r="A2664" t="str">
        <f t="shared" si="41"/>
        <v>BegninsBoisECS</v>
      </c>
      <c r="C2664" s="148" t="s">
        <v>397</v>
      </c>
      <c r="D2664" s="148" t="s">
        <v>66</v>
      </c>
      <c r="E2664" s="148">
        <v>338812.16627451003</v>
      </c>
      <c r="F2664" s="148" t="s">
        <v>37</v>
      </c>
    </row>
    <row r="2665" spans="1:6" ht="15.75">
      <c r="A2665" t="str">
        <f t="shared" si="41"/>
        <v>BegninsCADECS</v>
      </c>
      <c r="C2665" s="148" t="s">
        <v>397</v>
      </c>
      <c r="D2665" s="148" t="s">
        <v>242</v>
      </c>
      <c r="E2665" s="148">
        <v>278460</v>
      </c>
      <c r="F2665" s="148" t="s">
        <v>37</v>
      </c>
    </row>
    <row r="2666" spans="1:6" ht="15.75">
      <c r="A2666" t="str">
        <f t="shared" si="41"/>
        <v>BegninsElectricitéECS</v>
      </c>
      <c r="C2666" s="148" t="s">
        <v>397</v>
      </c>
      <c r="D2666" s="148" t="s">
        <v>97</v>
      </c>
      <c r="E2666" s="148">
        <v>348444.44444445986</v>
      </c>
      <c r="F2666" s="148" t="s">
        <v>37</v>
      </c>
    </row>
    <row r="2667" spans="1:6" ht="15.75">
      <c r="A2667" t="str">
        <f t="shared" si="41"/>
        <v>BegninsGazECS</v>
      </c>
      <c r="C2667" s="148" t="s">
        <v>397</v>
      </c>
      <c r="D2667" s="148" t="s">
        <v>239</v>
      </c>
      <c r="E2667" s="148">
        <v>61775.590792840005</v>
      </c>
      <c r="F2667" s="148" t="s">
        <v>37</v>
      </c>
    </row>
    <row r="2668" spans="1:6" ht="15.75">
      <c r="A2668" t="str">
        <f t="shared" si="41"/>
        <v>BegninsMazoutECS</v>
      </c>
      <c r="C2668" s="148" t="s">
        <v>397</v>
      </c>
      <c r="D2668" s="148" t="s">
        <v>70</v>
      </c>
      <c r="E2668" s="148">
        <v>1815196.1882353106</v>
      </c>
      <c r="F2668" s="148" t="s">
        <v>37</v>
      </c>
    </row>
    <row r="2669" spans="1:6" ht="15.75">
      <c r="A2669" t="str">
        <f t="shared" si="41"/>
        <v>BegninsNon renseignéECS</v>
      </c>
      <c r="C2669" s="148" t="s">
        <v>397</v>
      </c>
      <c r="D2669" s="148" t="s">
        <v>696</v>
      </c>
      <c r="E2669" s="148">
        <v>0</v>
      </c>
      <c r="F2669" s="148" t="s">
        <v>37</v>
      </c>
    </row>
    <row r="2670" spans="1:6" ht="15.75">
      <c r="A2670" t="str">
        <f t="shared" si="41"/>
        <v>BegninsPACECS</v>
      </c>
      <c r="C2670" s="148" t="s">
        <v>397</v>
      </c>
      <c r="D2670" s="148" t="s">
        <v>69</v>
      </c>
      <c r="E2670" s="148">
        <v>69768.232627259975</v>
      </c>
      <c r="F2670" s="148" t="s">
        <v>37</v>
      </c>
    </row>
    <row r="2671" spans="1:6" ht="15.75">
      <c r="A2671" t="str">
        <f t="shared" si="41"/>
        <v>BegninsSolaireECS</v>
      </c>
      <c r="C2671" s="148" t="s">
        <v>397</v>
      </c>
      <c r="D2671" s="148" t="s">
        <v>240</v>
      </c>
      <c r="E2671" s="148">
        <v>138943.69999999998</v>
      </c>
      <c r="F2671" s="148" t="s">
        <v>37</v>
      </c>
    </row>
    <row r="2672" spans="1:6" ht="15.75">
      <c r="A2672" t="str">
        <f t="shared" si="41"/>
        <v>Belmont-sur-LausanneAutre agent énergétiqueECS</v>
      </c>
      <c r="C2672" s="148" t="s">
        <v>669</v>
      </c>
      <c r="D2672" s="148" t="s">
        <v>245</v>
      </c>
      <c r="E2672" s="148" t="e">
        <v>#N/A</v>
      </c>
      <c r="F2672" s="148" t="s">
        <v>37</v>
      </c>
    </row>
    <row r="2673" spans="1:6" ht="15.75">
      <c r="A2673" t="str">
        <f t="shared" si="41"/>
        <v>Belmont-sur-LausanneBoisECS</v>
      </c>
      <c r="C2673" s="148" t="s">
        <v>669</v>
      </c>
      <c r="D2673" s="148" t="s">
        <v>66</v>
      </c>
      <c r="E2673" s="148">
        <v>313500.38588235999</v>
      </c>
      <c r="F2673" s="148" t="s">
        <v>37</v>
      </c>
    </row>
    <row r="2674" spans="1:6" ht="15.75">
      <c r="A2674" t="str">
        <f t="shared" si="41"/>
        <v>Belmont-sur-LausanneCADECS</v>
      </c>
      <c r="C2674" s="148" t="s">
        <v>669</v>
      </c>
      <c r="D2674" s="148" t="s">
        <v>242</v>
      </c>
      <c r="E2674" s="148">
        <v>16758</v>
      </c>
      <c r="F2674" s="148" t="s">
        <v>37</v>
      </c>
    </row>
    <row r="2675" spans="1:6" ht="15.75">
      <c r="A2675" t="str">
        <f t="shared" si="41"/>
        <v>Belmont-sur-LausanneElectricitéECS</v>
      </c>
      <c r="C2675" s="148" t="s">
        <v>669</v>
      </c>
      <c r="D2675" s="148" t="s">
        <v>97</v>
      </c>
      <c r="E2675" s="148">
        <v>569275.77777776006</v>
      </c>
      <c r="F2675" s="148" t="s">
        <v>37</v>
      </c>
    </row>
    <row r="2676" spans="1:6" ht="15.75">
      <c r="A2676" t="str">
        <f t="shared" si="41"/>
        <v>Belmont-sur-LausanneGazECS</v>
      </c>
      <c r="C2676" s="148" t="s">
        <v>669</v>
      </c>
      <c r="D2676" s="148" t="s">
        <v>239</v>
      </c>
      <c r="E2676" s="148">
        <v>366856.17902818014</v>
      </c>
      <c r="F2676" s="148" t="s">
        <v>37</v>
      </c>
    </row>
    <row r="2677" spans="1:6" ht="15.75">
      <c r="A2677" t="str">
        <f t="shared" si="41"/>
        <v>Belmont-sur-LausanneMazoutECS</v>
      </c>
      <c r="C2677" s="148" t="s">
        <v>669</v>
      </c>
      <c r="D2677" s="148" t="s">
        <v>70</v>
      </c>
      <c r="E2677" s="148">
        <v>3703694.6620319942</v>
      </c>
      <c r="F2677" s="148" t="s">
        <v>37</v>
      </c>
    </row>
    <row r="2678" spans="1:6" ht="15.75">
      <c r="A2678" t="str">
        <f t="shared" si="41"/>
        <v>Belmont-sur-LausanneNon renseignéECS</v>
      </c>
      <c r="C2678" s="148" t="s">
        <v>669</v>
      </c>
      <c r="D2678" s="148" t="s">
        <v>696</v>
      </c>
      <c r="E2678" s="148">
        <v>0</v>
      </c>
      <c r="F2678" s="148" t="s">
        <v>37</v>
      </c>
    </row>
    <row r="2679" spans="1:6" ht="15.75">
      <c r="A2679" t="str">
        <f t="shared" si="41"/>
        <v>Belmont-sur-LausannePACECS</v>
      </c>
      <c r="C2679" s="148" t="s">
        <v>669</v>
      </c>
      <c r="D2679" s="148" t="s">
        <v>69</v>
      </c>
      <c r="E2679" s="148">
        <v>143100.18233620998</v>
      </c>
      <c r="F2679" s="148" t="s">
        <v>37</v>
      </c>
    </row>
    <row r="2680" spans="1:6" ht="15.75">
      <c r="A2680" t="str">
        <f t="shared" si="41"/>
        <v>Belmont-sur-LausanneSolaireECS</v>
      </c>
      <c r="C2680" s="148" t="s">
        <v>669</v>
      </c>
      <c r="D2680" s="148" t="s">
        <v>240</v>
      </c>
      <c r="E2680" s="148">
        <v>194924.80000000002</v>
      </c>
      <c r="F2680" s="148" t="s">
        <v>37</v>
      </c>
    </row>
    <row r="2681" spans="1:6" ht="15.75">
      <c r="A2681" t="str">
        <f t="shared" si="41"/>
        <v>Belmont-sur-YverdonBoisECS</v>
      </c>
      <c r="C2681" s="148" t="s">
        <v>668</v>
      </c>
      <c r="D2681" s="148" t="s">
        <v>66</v>
      </c>
      <c r="E2681" s="148">
        <v>78054.556862740006</v>
      </c>
      <c r="F2681" s="148" t="s">
        <v>37</v>
      </c>
    </row>
    <row r="2682" spans="1:6" ht="15.75">
      <c r="A2682" t="str">
        <f t="shared" si="41"/>
        <v>Belmont-sur-YverdonElectricitéECS</v>
      </c>
      <c r="C2682" s="148" t="s">
        <v>668</v>
      </c>
      <c r="D2682" s="148" t="s">
        <v>97</v>
      </c>
      <c r="E2682" s="148">
        <v>143378.66666668002</v>
      </c>
      <c r="F2682" s="148" t="s">
        <v>37</v>
      </c>
    </row>
    <row r="2683" spans="1:6" ht="15.75">
      <c r="A2683" t="str">
        <f t="shared" si="41"/>
        <v>Belmont-sur-YverdonGazECS</v>
      </c>
      <c r="C2683" s="148" t="s">
        <v>668</v>
      </c>
      <c r="D2683" s="148" t="s">
        <v>239</v>
      </c>
      <c r="E2683" s="148" t="e">
        <v>#N/A</v>
      </c>
      <c r="F2683" s="148" t="s">
        <v>37</v>
      </c>
    </row>
    <row r="2684" spans="1:6" ht="15.75">
      <c r="A2684" t="str">
        <f t="shared" si="41"/>
        <v>Belmont-sur-YverdonMazoutECS</v>
      </c>
      <c r="C2684" s="148" t="s">
        <v>668</v>
      </c>
      <c r="D2684" s="148" t="s">
        <v>70</v>
      </c>
      <c r="E2684" s="148">
        <v>446287.05882355006</v>
      </c>
      <c r="F2684" s="148" t="s">
        <v>37</v>
      </c>
    </row>
    <row r="2685" spans="1:6" ht="15.75">
      <c r="A2685" t="str">
        <f t="shared" si="41"/>
        <v>Belmont-sur-YverdonNon renseignéECS</v>
      </c>
      <c r="C2685" s="148" t="s">
        <v>668</v>
      </c>
      <c r="D2685" s="148" t="s">
        <v>696</v>
      </c>
      <c r="E2685" s="148">
        <v>0</v>
      </c>
      <c r="F2685" s="148" t="s">
        <v>37</v>
      </c>
    </row>
    <row r="2686" spans="1:6" ht="15.75">
      <c r="A2686" t="str">
        <f t="shared" si="41"/>
        <v>Belmont-sur-YverdonPACECS</v>
      </c>
      <c r="C2686" s="148" t="s">
        <v>668</v>
      </c>
      <c r="D2686" s="148" t="s">
        <v>69</v>
      </c>
      <c r="E2686" s="148">
        <v>8673.3511705400015</v>
      </c>
      <c r="F2686" s="148" t="s">
        <v>37</v>
      </c>
    </row>
    <row r="2687" spans="1:6" ht="15.75">
      <c r="A2687" t="str">
        <f t="shared" si="41"/>
        <v>Belmont-sur-YverdonSolaireECS</v>
      </c>
      <c r="C2687" s="148" t="s">
        <v>668</v>
      </c>
      <c r="D2687" s="148" t="s">
        <v>240</v>
      </c>
      <c r="E2687" s="148">
        <v>72235.100000000006</v>
      </c>
      <c r="F2687" s="148" t="s">
        <v>37</v>
      </c>
    </row>
    <row r="2688" spans="1:6" ht="15.75">
      <c r="A2688" t="str">
        <f t="shared" si="41"/>
        <v>BercherBoisECS</v>
      </c>
      <c r="C2688" s="148" t="s">
        <v>398</v>
      </c>
      <c r="D2688" s="148" t="s">
        <v>66</v>
      </c>
      <c r="E2688" s="148">
        <v>188595.81176471</v>
      </c>
      <c r="F2688" s="148" t="s">
        <v>37</v>
      </c>
    </row>
    <row r="2689" spans="1:6" ht="15.75">
      <c r="A2689" t="str">
        <f t="shared" si="41"/>
        <v>BercherCADECS</v>
      </c>
      <c r="C2689" s="148" t="s">
        <v>398</v>
      </c>
      <c r="D2689" s="148" t="s">
        <v>242</v>
      </c>
      <c r="E2689" s="148">
        <v>44520</v>
      </c>
      <c r="F2689" s="148" t="s">
        <v>37</v>
      </c>
    </row>
    <row r="2690" spans="1:6" ht="15.75">
      <c r="A2690" t="str">
        <f t="shared" si="41"/>
        <v>BercherElectricitéECS</v>
      </c>
      <c r="C2690" s="148" t="s">
        <v>398</v>
      </c>
      <c r="D2690" s="148" t="s">
        <v>97</v>
      </c>
      <c r="E2690" s="148">
        <v>255129.77777776003</v>
      </c>
      <c r="F2690" s="148" t="s">
        <v>37</v>
      </c>
    </row>
    <row r="2691" spans="1:6" ht="15.75">
      <c r="A2691" t="str">
        <f t="shared" si="41"/>
        <v>BercherGazECS</v>
      </c>
      <c r="C2691" s="148" t="s">
        <v>398</v>
      </c>
      <c r="D2691" s="148" t="s">
        <v>239</v>
      </c>
      <c r="E2691" s="148">
        <v>660661.98721225944</v>
      </c>
      <c r="F2691" s="148" t="s">
        <v>37</v>
      </c>
    </row>
    <row r="2692" spans="1:6" ht="15.75">
      <c r="A2692" t="str">
        <f t="shared" si="41"/>
        <v>BercherMazoutECS</v>
      </c>
      <c r="C2692" s="148" t="s">
        <v>398</v>
      </c>
      <c r="D2692" s="148" t="s">
        <v>70</v>
      </c>
      <c r="E2692" s="148">
        <v>515244.47058823006</v>
      </c>
      <c r="F2692" s="148" t="s">
        <v>37</v>
      </c>
    </row>
    <row r="2693" spans="1:6" ht="15.75">
      <c r="A2693" t="str">
        <f t="shared" si="41"/>
        <v>BercherNon renseignéECS</v>
      </c>
      <c r="C2693" s="148" t="s">
        <v>398</v>
      </c>
      <c r="D2693" s="148" t="s">
        <v>696</v>
      </c>
      <c r="E2693" s="148">
        <v>0</v>
      </c>
      <c r="F2693" s="148" t="s">
        <v>37</v>
      </c>
    </row>
    <row r="2694" spans="1:6" ht="15.75">
      <c r="A2694" t="str">
        <f t="shared" si="41"/>
        <v>BercherPACECS</v>
      </c>
      <c r="C2694" s="148" t="s">
        <v>398</v>
      </c>
      <c r="D2694" s="148" t="s">
        <v>69</v>
      </c>
      <c r="E2694" s="148">
        <v>61666.507370279993</v>
      </c>
      <c r="F2694" s="148" t="s">
        <v>37</v>
      </c>
    </row>
    <row r="2695" spans="1:6" ht="15.75">
      <c r="A2695" t="str">
        <f t="shared" si="41"/>
        <v>BercherSolaireECS</v>
      </c>
      <c r="C2695" s="148" t="s">
        <v>398</v>
      </c>
      <c r="D2695" s="148" t="s">
        <v>240</v>
      </c>
      <c r="E2695" s="148">
        <v>89362</v>
      </c>
      <c r="F2695" s="148" t="s">
        <v>37</v>
      </c>
    </row>
    <row r="2696" spans="1:6" ht="15.75">
      <c r="A2696" t="str">
        <f t="shared" si="41"/>
        <v>BerolleBoisECS</v>
      </c>
      <c r="C2696" s="148" t="s">
        <v>399</v>
      </c>
      <c r="D2696" s="148" t="s">
        <v>66</v>
      </c>
      <c r="E2696" s="148">
        <v>111767.04000001002</v>
      </c>
      <c r="F2696" s="148" t="s">
        <v>37</v>
      </c>
    </row>
    <row r="2697" spans="1:6" ht="15.75">
      <c r="A2697" t="str">
        <f t="shared" si="41"/>
        <v>BerolleElectricitéECS</v>
      </c>
      <c r="C2697" s="148" t="s">
        <v>399</v>
      </c>
      <c r="D2697" s="148" t="s">
        <v>97</v>
      </c>
      <c r="E2697" s="148">
        <v>96614.311111110001</v>
      </c>
      <c r="F2697" s="148" t="s">
        <v>37</v>
      </c>
    </row>
    <row r="2698" spans="1:6" ht="15.75">
      <c r="A2698" t="str">
        <f t="shared" si="41"/>
        <v>BerolleGazECS</v>
      </c>
      <c r="C2698" s="148" t="s">
        <v>399</v>
      </c>
      <c r="D2698" s="148" t="s">
        <v>239</v>
      </c>
      <c r="E2698" s="148">
        <v>64624.572890030002</v>
      </c>
      <c r="F2698" s="148" t="s">
        <v>37</v>
      </c>
    </row>
    <row r="2699" spans="1:6" ht="15.75">
      <c r="A2699" t="str">
        <f t="shared" ref="A2699:A2762" si="42">_xlfn.CONCAT(C2699,D2699,F2699)</f>
        <v>BerolleMazoutECS</v>
      </c>
      <c r="C2699" s="148" t="s">
        <v>399</v>
      </c>
      <c r="D2699" s="148" t="s">
        <v>70</v>
      </c>
      <c r="E2699" s="148">
        <v>175718.77647061998</v>
      </c>
      <c r="F2699" s="148" t="s">
        <v>37</v>
      </c>
    </row>
    <row r="2700" spans="1:6" ht="15.75">
      <c r="A2700" t="str">
        <f t="shared" si="42"/>
        <v>BerolleNon renseignéECS</v>
      </c>
      <c r="C2700" s="148" t="s">
        <v>399</v>
      </c>
      <c r="D2700" s="148" t="s">
        <v>696</v>
      </c>
      <c r="E2700" s="148">
        <v>0</v>
      </c>
      <c r="F2700" s="148" t="s">
        <v>37</v>
      </c>
    </row>
    <row r="2701" spans="1:6" ht="15.75">
      <c r="A2701" t="str">
        <f t="shared" si="42"/>
        <v>BerollePACECS</v>
      </c>
      <c r="C2701" s="148" t="s">
        <v>399</v>
      </c>
      <c r="D2701" s="148" t="s">
        <v>69</v>
      </c>
      <c r="E2701" s="148">
        <v>5642.4214046800007</v>
      </c>
      <c r="F2701" s="148" t="s">
        <v>37</v>
      </c>
    </row>
    <row r="2702" spans="1:6" ht="15.75">
      <c r="A2702" t="str">
        <f t="shared" si="42"/>
        <v>BerolleSolaireECS</v>
      </c>
      <c r="C2702" s="148" t="s">
        <v>399</v>
      </c>
      <c r="D2702" s="148" t="s">
        <v>240</v>
      </c>
      <c r="E2702" s="148">
        <v>51172.799999999996</v>
      </c>
      <c r="F2702" s="148" t="s">
        <v>37</v>
      </c>
    </row>
    <row r="2703" spans="1:6" ht="15.75">
      <c r="A2703" t="str">
        <f t="shared" si="42"/>
        <v>BettensBoisECS</v>
      </c>
      <c r="C2703" s="148" t="s">
        <v>400</v>
      </c>
      <c r="D2703" s="148" t="s">
        <v>66</v>
      </c>
      <c r="E2703" s="148">
        <v>9811.2000000000007</v>
      </c>
      <c r="F2703" s="148" t="s">
        <v>37</v>
      </c>
    </row>
    <row r="2704" spans="1:6" ht="15.75">
      <c r="A2704" t="str">
        <f t="shared" si="42"/>
        <v>BettensCADECS</v>
      </c>
      <c r="C2704" s="148" t="s">
        <v>400</v>
      </c>
      <c r="D2704" s="148" t="s">
        <v>242</v>
      </c>
      <c r="E2704" s="148" t="e">
        <v>#N/A</v>
      </c>
      <c r="F2704" s="148" t="s">
        <v>37</v>
      </c>
    </row>
    <row r="2705" spans="1:6" ht="15.75">
      <c r="A2705" t="str">
        <f t="shared" si="42"/>
        <v>BettensElectricitéECS</v>
      </c>
      <c r="C2705" s="148" t="s">
        <v>400</v>
      </c>
      <c r="D2705" s="148" t="s">
        <v>97</v>
      </c>
      <c r="E2705" s="148">
        <v>87811.111111109989</v>
      </c>
      <c r="F2705" s="148" t="s">
        <v>37</v>
      </c>
    </row>
    <row r="2706" spans="1:6" ht="15.75">
      <c r="A2706" t="str">
        <f t="shared" si="42"/>
        <v>BettensGazECS</v>
      </c>
      <c r="C2706" s="148" t="s">
        <v>400</v>
      </c>
      <c r="D2706" s="148" t="s">
        <v>239</v>
      </c>
      <c r="E2706" s="148">
        <v>367958.36214832996</v>
      </c>
      <c r="F2706" s="148" t="s">
        <v>37</v>
      </c>
    </row>
    <row r="2707" spans="1:6" ht="15.75">
      <c r="A2707" t="str">
        <f t="shared" si="42"/>
        <v>BettensMazoutECS</v>
      </c>
      <c r="C2707" s="148" t="s">
        <v>400</v>
      </c>
      <c r="D2707" s="148" t="s">
        <v>70</v>
      </c>
      <c r="E2707" s="148">
        <v>204793.64705883997</v>
      </c>
      <c r="F2707" s="148" t="s">
        <v>37</v>
      </c>
    </row>
    <row r="2708" spans="1:6" ht="15.75">
      <c r="A2708" t="str">
        <f t="shared" si="42"/>
        <v>BettensNon renseignéECS</v>
      </c>
      <c r="C2708" s="148" t="s">
        <v>400</v>
      </c>
      <c r="D2708" s="148" t="s">
        <v>696</v>
      </c>
      <c r="E2708" s="148">
        <v>0</v>
      </c>
      <c r="F2708" s="148" t="s">
        <v>37</v>
      </c>
    </row>
    <row r="2709" spans="1:6" ht="15.75">
      <c r="A2709" t="str">
        <f t="shared" si="42"/>
        <v>BettensPACECS</v>
      </c>
      <c r="C2709" s="148" t="s">
        <v>400</v>
      </c>
      <c r="D2709" s="148" t="s">
        <v>69</v>
      </c>
      <c r="E2709" s="148">
        <v>16912.25839218</v>
      </c>
      <c r="F2709" s="148" t="s">
        <v>37</v>
      </c>
    </row>
    <row r="2710" spans="1:6" ht="15.75">
      <c r="A2710" t="str">
        <f t="shared" si="42"/>
        <v>BettensSolaireECS</v>
      </c>
      <c r="C2710" s="148" t="s">
        <v>400</v>
      </c>
      <c r="D2710" s="148" t="s">
        <v>240</v>
      </c>
      <c r="E2710" s="148">
        <v>111778.1</v>
      </c>
      <c r="F2710" s="148" t="s">
        <v>37</v>
      </c>
    </row>
    <row r="2711" spans="1:6" ht="15.75">
      <c r="A2711" t="str">
        <f t="shared" si="42"/>
        <v>BexAutre agent énergétiqueECS</v>
      </c>
      <c r="C2711" s="148" t="s">
        <v>401</v>
      </c>
      <c r="D2711" s="148" t="s">
        <v>245</v>
      </c>
      <c r="E2711" s="148">
        <v>5462.96470589</v>
      </c>
      <c r="F2711" s="148" t="s">
        <v>37</v>
      </c>
    </row>
    <row r="2712" spans="1:6" ht="15.75">
      <c r="A2712" t="str">
        <f t="shared" si="42"/>
        <v>BexBoisECS</v>
      </c>
      <c r="C2712" s="148" t="s">
        <v>401</v>
      </c>
      <c r="D2712" s="148" t="s">
        <v>66</v>
      </c>
      <c r="E2712" s="148">
        <v>716325.20784311974</v>
      </c>
      <c r="F2712" s="148" t="s">
        <v>37</v>
      </c>
    </row>
    <row r="2713" spans="1:6" ht="15.75">
      <c r="A2713" t="str">
        <f t="shared" si="42"/>
        <v>BexCADECS</v>
      </c>
      <c r="C2713" s="148" t="s">
        <v>401</v>
      </c>
      <c r="D2713" s="148" t="s">
        <v>242</v>
      </c>
      <c r="E2713" s="148">
        <v>61331.200000000004</v>
      </c>
      <c r="F2713" s="148" t="s">
        <v>37</v>
      </c>
    </row>
    <row r="2714" spans="1:6" ht="15.75">
      <c r="A2714" t="str">
        <f t="shared" si="42"/>
        <v>BexCharbonECS</v>
      </c>
      <c r="C2714" s="148" t="s">
        <v>401</v>
      </c>
      <c r="D2714" s="148" t="s">
        <v>695</v>
      </c>
      <c r="E2714" s="148" t="e">
        <v>#N/A</v>
      </c>
      <c r="F2714" s="148" t="s">
        <v>37</v>
      </c>
    </row>
    <row r="2715" spans="1:6" ht="15.75">
      <c r="A2715" t="str">
        <f t="shared" si="42"/>
        <v>BexElectricitéECS</v>
      </c>
      <c r="C2715" s="148" t="s">
        <v>401</v>
      </c>
      <c r="D2715" s="148" t="s">
        <v>97</v>
      </c>
      <c r="E2715" s="148">
        <v>1644753.2888888801</v>
      </c>
      <c r="F2715" s="148" t="s">
        <v>37</v>
      </c>
    </row>
    <row r="2716" spans="1:6" ht="15.75">
      <c r="A2716" t="str">
        <f t="shared" si="42"/>
        <v>BexGazECS</v>
      </c>
      <c r="C2716" s="148" t="s">
        <v>401</v>
      </c>
      <c r="D2716" s="148" t="s">
        <v>239</v>
      </c>
      <c r="E2716" s="148">
        <v>4273725.4805626692</v>
      </c>
      <c r="F2716" s="148" t="s">
        <v>37</v>
      </c>
    </row>
    <row r="2717" spans="1:6" ht="15.75">
      <c r="A2717" t="str">
        <f t="shared" si="42"/>
        <v>BexMazoutECS</v>
      </c>
      <c r="C2717" s="148" t="s">
        <v>401</v>
      </c>
      <c r="D2717" s="148" t="s">
        <v>70</v>
      </c>
      <c r="E2717" s="148">
        <v>3912532.9390374259</v>
      </c>
      <c r="F2717" s="148" t="s">
        <v>37</v>
      </c>
    </row>
    <row r="2718" spans="1:6" ht="15.75">
      <c r="A2718" t="str">
        <f t="shared" si="42"/>
        <v>BexNon renseignéECS</v>
      </c>
      <c r="C2718" s="148" t="s">
        <v>401</v>
      </c>
      <c r="D2718" s="148" t="s">
        <v>696</v>
      </c>
      <c r="E2718" s="148">
        <v>0</v>
      </c>
      <c r="F2718" s="148" t="s">
        <v>37</v>
      </c>
    </row>
    <row r="2719" spans="1:6" ht="15.75">
      <c r="A2719" t="str">
        <f t="shared" si="42"/>
        <v>BexPACECS</v>
      </c>
      <c r="C2719" s="148" t="s">
        <v>401</v>
      </c>
      <c r="D2719" s="148" t="s">
        <v>69</v>
      </c>
      <c r="E2719" s="148">
        <v>86433.070977329975</v>
      </c>
      <c r="F2719" s="148" t="s">
        <v>37</v>
      </c>
    </row>
    <row r="2720" spans="1:6" ht="15.75">
      <c r="A2720" t="str">
        <f t="shared" si="42"/>
        <v>BexSolaireECS</v>
      </c>
      <c r="C2720" s="148" t="s">
        <v>401</v>
      </c>
      <c r="D2720" s="148" t="s">
        <v>240</v>
      </c>
      <c r="E2720" s="148">
        <v>644821.87000000023</v>
      </c>
      <c r="F2720" s="148" t="s">
        <v>37</v>
      </c>
    </row>
    <row r="2721" spans="1:6" ht="15.75">
      <c r="A2721" t="str">
        <f t="shared" si="42"/>
        <v>BièreBoisECS</v>
      </c>
      <c r="C2721" s="148" t="s">
        <v>667</v>
      </c>
      <c r="D2721" s="148" t="s">
        <v>66</v>
      </c>
      <c r="E2721" s="148">
        <v>238033.60000000003</v>
      </c>
      <c r="F2721" s="148" t="s">
        <v>37</v>
      </c>
    </row>
    <row r="2722" spans="1:6" ht="15.75">
      <c r="A2722" t="str">
        <f t="shared" si="42"/>
        <v>BièreCADECS</v>
      </c>
      <c r="C2722" s="148" t="s">
        <v>667</v>
      </c>
      <c r="D2722" s="148" t="s">
        <v>242</v>
      </c>
      <c r="E2722" s="148">
        <v>77526.400000000009</v>
      </c>
      <c r="F2722" s="148" t="s">
        <v>37</v>
      </c>
    </row>
    <row r="2723" spans="1:6" ht="15.75">
      <c r="A2723" t="str">
        <f t="shared" si="42"/>
        <v>BièreElectricitéECS</v>
      </c>
      <c r="C2723" s="148" t="s">
        <v>667</v>
      </c>
      <c r="D2723" s="148" t="s">
        <v>97</v>
      </c>
      <c r="E2723" s="148">
        <v>651723.9555555298</v>
      </c>
      <c r="F2723" s="148" t="s">
        <v>37</v>
      </c>
    </row>
    <row r="2724" spans="1:6" ht="15.75">
      <c r="A2724" t="str">
        <f t="shared" si="42"/>
        <v>BièreGazECS</v>
      </c>
      <c r="C2724" s="148" t="s">
        <v>667</v>
      </c>
      <c r="D2724" s="148" t="s">
        <v>239</v>
      </c>
      <c r="E2724" s="148">
        <v>297565.57800509001</v>
      </c>
      <c r="F2724" s="148" t="s">
        <v>37</v>
      </c>
    </row>
    <row r="2725" spans="1:6" ht="15.75">
      <c r="A2725" t="str">
        <f t="shared" si="42"/>
        <v>BièreMazoutECS</v>
      </c>
      <c r="C2725" s="148" t="s">
        <v>667</v>
      </c>
      <c r="D2725" s="148" t="s">
        <v>70</v>
      </c>
      <c r="E2725" s="148">
        <v>1591436.6588234995</v>
      </c>
      <c r="F2725" s="148" t="s">
        <v>37</v>
      </c>
    </row>
    <row r="2726" spans="1:6" ht="15.75">
      <c r="A2726" t="str">
        <f t="shared" si="42"/>
        <v>BièreNon renseignéECS</v>
      </c>
      <c r="C2726" s="148" t="s">
        <v>667</v>
      </c>
      <c r="D2726" s="148" t="s">
        <v>696</v>
      </c>
      <c r="E2726" s="148">
        <v>0</v>
      </c>
      <c r="F2726" s="148" t="s">
        <v>37</v>
      </c>
    </row>
    <row r="2727" spans="1:6" ht="15.75">
      <c r="A2727" t="str">
        <f t="shared" si="42"/>
        <v>BièrePACECS</v>
      </c>
      <c r="C2727" s="148" t="s">
        <v>667</v>
      </c>
      <c r="D2727" s="148" t="s">
        <v>69</v>
      </c>
      <c r="E2727" s="148">
        <v>12031.38461538</v>
      </c>
      <c r="F2727" s="148" t="s">
        <v>37</v>
      </c>
    </row>
    <row r="2728" spans="1:6" ht="15.75">
      <c r="A2728" t="str">
        <f t="shared" si="42"/>
        <v>BièreSolaireECS</v>
      </c>
      <c r="C2728" s="148" t="s">
        <v>667</v>
      </c>
      <c r="D2728" s="148" t="s">
        <v>240</v>
      </c>
      <c r="E2728" s="148">
        <v>177857.63058823996</v>
      </c>
      <c r="F2728" s="148" t="s">
        <v>37</v>
      </c>
    </row>
    <row r="2729" spans="1:6" ht="15.75">
      <c r="A2729" t="str">
        <f t="shared" si="42"/>
        <v>Bioley-MagnouxBoisECS</v>
      </c>
      <c r="C2729" s="148" t="s">
        <v>402</v>
      </c>
      <c r="D2729" s="148" t="s">
        <v>66</v>
      </c>
      <c r="E2729" s="148">
        <v>139191.73333333002</v>
      </c>
      <c r="F2729" s="148" t="s">
        <v>37</v>
      </c>
    </row>
    <row r="2730" spans="1:6" ht="15.75">
      <c r="A2730" t="str">
        <f t="shared" si="42"/>
        <v>Bioley-MagnouxCADECS</v>
      </c>
      <c r="C2730" s="148" t="s">
        <v>402</v>
      </c>
      <c r="D2730" s="148" t="s">
        <v>242</v>
      </c>
      <c r="E2730" s="148">
        <v>5348</v>
      </c>
      <c r="F2730" s="148" t="s">
        <v>37</v>
      </c>
    </row>
    <row r="2731" spans="1:6" ht="15.75">
      <c r="A2731" t="str">
        <f t="shared" si="42"/>
        <v>Bioley-MagnouxElectricitéECS</v>
      </c>
      <c r="C2731" s="148" t="s">
        <v>402</v>
      </c>
      <c r="D2731" s="148" t="s">
        <v>97</v>
      </c>
      <c r="E2731" s="148">
        <v>117301.95555558002</v>
      </c>
      <c r="F2731" s="148" t="s">
        <v>37</v>
      </c>
    </row>
    <row r="2732" spans="1:6" ht="15.75">
      <c r="A2732" t="str">
        <f t="shared" si="42"/>
        <v>Bioley-MagnouxGazECS</v>
      </c>
      <c r="C2732" s="148" t="s">
        <v>402</v>
      </c>
      <c r="D2732" s="148" t="s">
        <v>239</v>
      </c>
      <c r="E2732" s="148">
        <v>5652.4552429699997</v>
      </c>
      <c r="F2732" s="148" t="s">
        <v>37</v>
      </c>
    </row>
    <row r="2733" spans="1:6" ht="15.75">
      <c r="A2733" t="str">
        <f t="shared" si="42"/>
        <v>Bioley-MagnouxMazoutECS</v>
      </c>
      <c r="C2733" s="148" t="s">
        <v>402</v>
      </c>
      <c r="D2733" s="148" t="s">
        <v>70</v>
      </c>
      <c r="E2733" s="148">
        <v>249300.47058822997</v>
      </c>
      <c r="F2733" s="148" t="s">
        <v>37</v>
      </c>
    </row>
    <row r="2734" spans="1:6" ht="15.75">
      <c r="A2734" t="str">
        <f t="shared" si="42"/>
        <v>Bioley-MagnouxNon renseignéECS</v>
      </c>
      <c r="C2734" s="148" t="s">
        <v>402</v>
      </c>
      <c r="D2734" s="148" t="s">
        <v>696</v>
      </c>
      <c r="E2734" s="148">
        <v>0</v>
      </c>
      <c r="F2734" s="148" t="s">
        <v>37</v>
      </c>
    </row>
    <row r="2735" spans="1:6" ht="15.75">
      <c r="A2735" t="str">
        <f t="shared" si="42"/>
        <v>Bioley-MagnouxPACECS</v>
      </c>
      <c r="C2735" s="148" t="s">
        <v>402</v>
      </c>
      <c r="D2735" s="148" t="s">
        <v>69</v>
      </c>
      <c r="E2735" s="148">
        <v>4472.2461538400003</v>
      </c>
      <c r="F2735" s="148" t="s">
        <v>37</v>
      </c>
    </row>
    <row r="2736" spans="1:6" ht="15.75">
      <c r="A2736" t="str">
        <f t="shared" si="42"/>
        <v>Bioley-MagnouxSolaireECS</v>
      </c>
      <c r="C2736" s="148" t="s">
        <v>402</v>
      </c>
      <c r="D2736" s="148" t="s">
        <v>240</v>
      </c>
      <c r="E2736" s="148">
        <v>49743.399999999994</v>
      </c>
      <c r="F2736" s="148" t="s">
        <v>37</v>
      </c>
    </row>
    <row r="2737" spans="1:6" ht="15.75">
      <c r="A2737" t="str">
        <f t="shared" si="42"/>
        <v>Bioley-OrjulazBoisECS</v>
      </c>
      <c r="C2737" s="148" t="s">
        <v>403</v>
      </c>
      <c r="D2737" s="148" t="s">
        <v>66</v>
      </c>
      <c r="E2737" s="148" t="e">
        <v>#N/A</v>
      </c>
      <c r="F2737" s="148" t="s">
        <v>37</v>
      </c>
    </row>
    <row r="2738" spans="1:6" ht="15.75">
      <c r="A2738" t="str">
        <f t="shared" si="42"/>
        <v>Bioley-OrjulazElectricitéECS</v>
      </c>
      <c r="C2738" s="148" t="s">
        <v>403</v>
      </c>
      <c r="D2738" s="148" t="s">
        <v>97</v>
      </c>
      <c r="E2738" s="148" t="e">
        <v>#N/A</v>
      </c>
      <c r="F2738" s="148" t="s">
        <v>37</v>
      </c>
    </row>
    <row r="2739" spans="1:6" ht="15.75">
      <c r="A2739" t="str">
        <f t="shared" si="42"/>
        <v>Bioley-OrjulazGazECS</v>
      </c>
      <c r="C2739" s="148" t="s">
        <v>403</v>
      </c>
      <c r="D2739" s="148" t="s">
        <v>239</v>
      </c>
      <c r="E2739" s="148" t="e">
        <v>#N/A</v>
      </c>
      <c r="F2739" s="148" t="s">
        <v>37</v>
      </c>
    </row>
    <row r="2740" spans="1:6" ht="15.75">
      <c r="A2740" t="str">
        <f t="shared" si="42"/>
        <v>Bioley-OrjulazMazoutECS</v>
      </c>
      <c r="C2740" s="148" t="s">
        <v>403</v>
      </c>
      <c r="D2740" s="148" t="s">
        <v>70</v>
      </c>
      <c r="E2740" s="148" t="e">
        <v>#N/A</v>
      </c>
      <c r="F2740" s="148" t="s">
        <v>37</v>
      </c>
    </row>
    <row r="2741" spans="1:6" ht="15.75">
      <c r="A2741" t="str">
        <f t="shared" si="42"/>
        <v>Bioley-OrjulazNon renseignéECS</v>
      </c>
      <c r="C2741" s="148" t="s">
        <v>403</v>
      </c>
      <c r="D2741" s="148" t="s">
        <v>696</v>
      </c>
      <c r="E2741" s="148" t="e">
        <v>#N/A</v>
      </c>
      <c r="F2741" s="148" t="s">
        <v>37</v>
      </c>
    </row>
    <row r="2742" spans="1:6" ht="15.75">
      <c r="A2742" t="str">
        <f t="shared" si="42"/>
        <v>Bioley-OrjulazPACECS</v>
      </c>
      <c r="C2742" s="148" t="s">
        <v>403</v>
      </c>
      <c r="D2742" s="148" t="s">
        <v>69</v>
      </c>
      <c r="E2742" s="148" t="e">
        <v>#N/A</v>
      </c>
      <c r="F2742" s="148" t="s">
        <v>37</v>
      </c>
    </row>
    <row r="2743" spans="1:6" ht="15.75">
      <c r="A2743" t="str">
        <f t="shared" si="42"/>
        <v>Bioley-OrjulazSolaireECS</v>
      </c>
      <c r="C2743" s="148" t="s">
        <v>403</v>
      </c>
      <c r="D2743" s="148" t="s">
        <v>240</v>
      </c>
      <c r="E2743" s="148" t="e">
        <v>#N/A</v>
      </c>
      <c r="F2743" s="148" t="s">
        <v>37</v>
      </c>
    </row>
    <row r="2744" spans="1:6" ht="15.75">
      <c r="A2744" t="str">
        <f t="shared" si="42"/>
        <v>BlonayAutre agent énergétiqueECS</v>
      </c>
      <c r="C2744" s="148" t="s">
        <v>404</v>
      </c>
      <c r="D2744" s="148" t="s">
        <v>245</v>
      </c>
      <c r="E2744" s="148">
        <v>21662.117647060004</v>
      </c>
      <c r="F2744" s="148" t="s">
        <v>37</v>
      </c>
    </row>
    <row r="2745" spans="1:6" ht="15.75">
      <c r="A2745" t="str">
        <f t="shared" si="42"/>
        <v>BlonayBoisECS</v>
      </c>
      <c r="C2745" s="148" t="s">
        <v>404</v>
      </c>
      <c r="D2745" s="148" t="s">
        <v>66</v>
      </c>
      <c r="E2745" s="148">
        <v>256684.5647059</v>
      </c>
      <c r="F2745" s="148" t="s">
        <v>37</v>
      </c>
    </row>
    <row r="2746" spans="1:6" ht="15.75">
      <c r="A2746" t="str">
        <f t="shared" si="42"/>
        <v>BlonayCADECS</v>
      </c>
      <c r="C2746" s="148" t="s">
        <v>404</v>
      </c>
      <c r="D2746" s="148" t="s">
        <v>242</v>
      </c>
      <c r="E2746" s="148">
        <v>584466.4</v>
      </c>
      <c r="F2746" s="148" t="s">
        <v>37</v>
      </c>
    </row>
    <row r="2747" spans="1:6" ht="15.75">
      <c r="A2747" t="str">
        <f t="shared" si="42"/>
        <v>BlonayCharbonECS</v>
      </c>
      <c r="C2747" s="148" t="s">
        <v>404</v>
      </c>
      <c r="D2747" s="148" t="s">
        <v>695</v>
      </c>
      <c r="E2747" s="148" t="e">
        <v>#N/A</v>
      </c>
      <c r="F2747" s="148" t="s">
        <v>37</v>
      </c>
    </row>
    <row r="2748" spans="1:6" ht="15.75">
      <c r="A2748" t="str">
        <f t="shared" si="42"/>
        <v>BlonayElectricitéECS</v>
      </c>
      <c r="C2748" s="148" t="s">
        <v>404</v>
      </c>
      <c r="D2748" s="148" t="s">
        <v>97</v>
      </c>
      <c r="E2748" s="148">
        <v>749454.53333333973</v>
      </c>
      <c r="F2748" s="148" t="s">
        <v>37</v>
      </c>
    </row>
    <row r="2749" spans="1:6" ht="15.75">
      <c r="A2749" t="str">
        <f t="shared" si="42"/>
        <v>BlonayGazECS</v>
      </c>
      <c r="C2749" s="148" t="s">
        <v>404</v>
      </c>
      <c r="D2749" s="148" t="s">
        <v>239</v>
      </c>
      <c r="E2749" s="148">
        <v>3361943.1104860129</v>
      </c>
      <c r="F2749" s="148" t="s">
        <v>37</v>
      </c>
    </row>
    <row r="2750" spans="1:6" ht="15.75">
      <c r="A2750" t="str">
        <f t="shared" si="42"/>
        <v>BlonayMazoutECS</v>
      </c>
      <c r="C2750" s="148" t="s">
        <v>404</v>
      </c>
      <c r="D2750" s="148" t="s">
        <v>70</v>
      </c>
      <c r="E2750" s="148">
        <v>1708908.8470586992</v>
      </c>
      <c r="F2750" s="148" t="s">
        <v>37</v>
      </c>
    </row>
    <row r="2751" spans="1:6" ht="15.75">
      <c r="A2751" t="str">
        <f t="shared" si="42"/>
        <v>BlonayNon renseignéECS</v>
      </c>
      <c r="C2751" s="148" t="s">
        <v>404</v>
      </c>
      <c r="D2751" s="148" t="s">
        <v>696</v>
      </c>
      <c r="E2751" s="148">
        <v>0</v>
      </c>
      <c r="F2751" s="148" t="s">
        <v>37</v>
      </c>
    </row>
    <row r="2752" spans="1:6" ht="15.75">
      <c r="A2752" t="str">
        <f t="shared" si="42"/>
        <v>BlonayPACECS</v>
      </c>
      <c r="C2752" s="148" t="s">
        <v>404</v>
      </c>
      <c r="D2752" s="148" t="s">
        <v>69</v>
      </c>
      <c r="E2752" s="148">
        <v>104073.15074943005</v>
      </c>
      <c r="F2752" s="148" t="s">
        <v>37</v>
      </c>
    </row>
    <row r="2753" spans="1:6" ht="15.75">
      <c r="A2753" t="str">
        <f t="shared" si="42"/>
        <v>BlonaySolaireECS</v>
      </c>
      <c r="C2753" s="148" t="s">
        <v>404</v>
      </c>
      <c r="D2753" s="148" t="s">
        <v>240</v>
      </c>
      <c r="E2753" s="148">
        <v>298006.52000000008</v>
      </c>
      <c r="F2753" s="148" t="s">
        <v>37</v>
      </c>
    </row>
    <row r="2754" spans="1:6" ht="15.75">
      <c r="A2754" t="str">
        <f t="shared" si="42"/>
        <v>BofflensBoisECS</v>
      </c>
      <c r="C2754" s="148" t="s">
        <v>405</v>
      </c>
      <c r="D2754" s="148" t="s">
        <v>66</v>
      </c>
      <c r="E2754" s="148">
        <v>52236.800000000003</v>
      </c>
      <c r="F2754" s="148" t="s">
        <v>37</v>
      </c>
    </row>
    <row r="2755" spans="1:6" ht="15.75">
      <c r="A2755" t="str">
        <f t="shared" si="42"/>
        <v>BofflensElectricitéECS</v>
      </c>
      <c r="C2755" s="148" t="s">
        <v>405</v>
      </c>
      <c r="D2755" s="148" t="s">
        <v>97</v>
      </c>
      <c r="E2755" s="148">
        <v>142296.00000000003</v>
      </c>
      <c r="F2755" s="148" t="s">
        <v>37</v>
      </c>
    </row>
    <row r="2756" spans="1:6" ht="15.75">
      <c r="A2756" t="str">
        <f t="shared" si="42"/>
        <v>BofflensGazECS</v>
      </c>
      <c r="C2756" s="148" t="s">
        <v>405</v>
      </c>
      <c r="D2756" s="148" t="s">
        <v>239</v>
      </c>
      <c r="E2756" s="148">
        <v>43040.06035806</v>
      </c>
      <c r="F2756" s="148" t="s">
        <v>37</v>
      </c>
    </row>
    <row r="2757" spans="1:6" ht="15.75">
      <c r="A2757" t="str">
        <f t="shared" si="42"/>
        <v>BofflensMazoutECS</v>
      </c>
      <c r="C2757" s="148" t="s">
        <v>405</v>
      </c>
      <c r="D2757" s="148" t="s">
        <v>70</v>
      </c>
      <c r="E2757" s="148">
        <v>89208</v>
      </c>
      <c r="F2757" s="148" t="s">
        <v>37</v>
      </c>
    </row>
    <row r="2758" spans="1:6" ht="15.75">
      <c r="A2758" t="str">
        <f t="shared" si="42"/>
        <v>BofflensNon renseignéECS</v>
      </c>
      <c r="C2758" s="148" t="s">
        <v>405</v>
      </c>
      <c r="D2758" s="148" t="s">
        <v>696</v>
      </c>
      <c r="E2758" s="148">
        <v>0</v>
      </c>
      <c r="F2758" s="148" t="s">
        <v>37</v>
      </c>
    </row>
    <row r="2759" spans="1:6" ht="15.75">
      <c r="A2759" t="str">
        <f t="shared" si="42"/>
        <v>BofflensPACECS</v>
      </c>
      <c r="C2759" s="148" t="s">
        <v>405</v>
      </c>
      <c r="D2759" s="148" t="s">
        <v>69</v>
      </c>
      <c r="E2759" s="148">
        <v>10771.923944009999</v>
      </c>
      <c r="F2759" s="148" t="s">
        <v>37</v>
      </c>
    </row>
    <row r="2760" spans="1:6" ht="15.75">
      <c r="A2760" t="str">
        <f t="shared" si="42"/>
        <v>BofflensSolaireECS</v>
      </c>
      <c r="C2760" s="148" t="s">
        <v>405</v>
      </c>
      <c r="D2760" s="148" t="s">
        <v>240</v>
      </c>
      <c r="E2760" s="148">
        <v>40615.4</v>
      </c>
      <c r="F2760" s="148" t="s">
        <v>37</v>
      </c>
    </row>
    <row r="2761" spans="1:6" ht="15.75">
      <c r="A2761" t="str">
        <f t="shared" si="42"/>
        <v>Bogis-BosseyBoisECS</v>
      </c>
      <c r="C2761" s="148" t="s">
        <v>406</v>
      </c>
      <c r="D2761" s="148" t="s">
        <v>66</v>
      </c>
      <c r="E2761" s="148">
        <v>14440.094117650002</v>
      </c>
      <c r="F2761" s="148" t="s">
        <v>37</v>
      </c>
    </row>
    <row r="2762" spans="1:6" ht="15.75">
      <c r="A2762" t="str">
        <f t="shared" si="42"/>
        <v>Bogis-BosseyCADECS</v>
      </c>
      <c r="C2762" s="148" t="s">
        <v>406</v>
      </c>
      <c r="D2762" s="148" t="s">
        <v>242</v>
      </c>
      <c r="E2762" s="148" t="e">
        <v>#N/A</v>
      </c>
      <c r="F2762" s="148" t="s">
        <v>37</v>
      </c>
    </row>
    <row r="2763" spans="1:6" ht="15.75">
      <c r="A2763" t="str">
        <f t="shared" ref="A2763:A2826" si="43">_xlfn.CONCAT(C2763,D2763,F2763)</f>
        <v>Bogis-BosseyElectricitéECS</v>
      </c>
      <c r="C2763" s="148" t="s">
        <v>406</v>
      </c>
      <c r="D2763" s="148" t="s">
        <v>97</v>
      </c>
      <c r="E2763" s="148">
        <v>677523.77777779067</v>
      </c>
      <c r="F2763" s="148" t="s">
        <v>37</v>
      </c>
    </row>
    <row r="2764" spans="1:6" ht="15.75">
      <c r="A2764" t="str">
        <f t="shared" si="43"/>
        <v>Bogis-BosseyMazoutECS</v>
      </c>
      <c r="C2764" s="148" t="s">
        <v>406</v>
      </c>
      <c r="D2764" s="148" t="s">
        <v>70</v>
      </c>
      <c r="E2764" s="148">
        <v>423715.76470593998</v>
      </c>
      <c r="F2764" s="148" t="s">
        <v>37</v>
      </c>
    </row>
    <row r="2765" spans="1:6" ht="15.75">
      <c r="A2765" t="str">
        <f t="shared" si="43"/>
        <v>Bogis-BosseyNon renseignéECS</v>
      </c>
      <c r="C2765" s="148" t="s">
        <v>406</v>
      </c>
      <c r="D2765" s="148" t="s">
        <v>696</v>
      </c>
      <c r="E2765" s="148" t="e">
        <v>#N/A</v>
      </c>
      <c r="F2765" s="148" t="s">
        <v>37</v>
      </c>
    </row>
    <row r="2766" spans="1:6" ht="15.75">
      <c r="A2766" t="str">
        <f t="shared" si="43"/>
        <v>Bogis-BosseyPACECS</v>
      </c>
      <c r="C2766" s="148" t="s">
        <v>406</v>
      </c>
      <c r="D2766" s="148" t="s">
        <v>69</v>
      </c>
      <c r="E2766" s="148">
        <v>34699.543664080004</v>
      </c>
      <c r="F2766" s="148" t="s">
        <v>37</v>
      </c>
    </row>
    <row r="2767" spans="1:6" ht="15.75">
      <c r="A2767" t="str">
        <f t="shared" si="43"/>
        <v>Bogis-BosseySolaireECS</v>
      </c>
      <c r="C2767" s="148" t="s">
        <v>406</v>
      </c>
      <c r="D2767" s="148" t="s">
        <v>240</v>
      </c>
      <c r="E2767" s="148">
        <v>48122.19999999999</v>
      </c>
      <c r="F2767" s="148" t="s">
        <v>37</v>
      </c>
    </row>
    <row r="2768" spans="1:6" ht="15.75">
      <c r="A2768" t="str">
        <f t="shared" si="43"/>
        <v>BonvillarsAutre agent énergétiqueECS</v>
      </c>
      <c r="C2768" s="148" t="s">
        <v>407</v>
      </c>
      <c r="D2768" s="148" t="s">
        <v>245</v>
      </c>
      <c r="E2768" s="148" t="e">
        <v>#N/A</v>
      </c>
      <c r="F2768" s="148" t="s">
        <v>37</v>
      </c>
    </row>
    <row r="2769" spans="1:6" ht="15.75">
      <c r="A2769" t="str">
        <f t="shared" si="43"/>
        <v>BonvillarsBoisECS</v>
      </c>
      <c r="C2769" s="148" t="s">
        <v>407</v>
      </c>
      <c r="D2769" s="148" t="s">
        <v>66</v>
      </c>
      <c r="E2769" s="148">
        <v>81369.866666679998</v>
      </c>
      <c r="F2769" s="148" t="s">
        <v>37</v>
      </c>
    </row>
    <row r="2770" spans="1:6" ht="15.75">
      <c r="A2770" t="str">
        <f t="shared" si="43"/>
        <v>BonvillarsElectricitéECS</v>
      </c>
      <c r="C2770" s="148" t="s">
        <v>407</v>
      </c>
      <c r="D2770" s="148" t="s">
        <v>97</v>
      </c>
      <c r="E2770" s="148">
        <v>277347.46666663</v>
      </c>
      <c r="F2770" s="148" t="s">
        <v>37</v>
      </c>
    </row>
    <row r="2771" spans="1:6" ht="15.75">
      <c r="A2771" t="str">
        <f t="shared" si="43"/>
        <v>BonvillarsMazoutECS</v>
      </c>
      <c r="C2771" s="148" t="s">
        <v>407</v>
      </c>
      <c r="D2771" s="148" t="s">
        <v>70</v>
      </c>
      <c r="E2771" s="148">
        <v>505272.68235298997</v>
      </c>
      <c r="F2771" s="148" t="s">
        <v>37</v>
      </c>
    </row>
    <row r="2772" spans="1:6" ht="15.75">
      <c r="A2772" t="str">
        <f t="shared" si="43"/>
        <v>BonvillarsNon renseignéECS</v>
      </c>
      <c r="C2772" s="148" t="s">
        <v>407</v>
      </c>
      <c r="D2772" s="148" t="s">
        <v>696</v>
      </c>
      <c r="E2772" s="148">
        <v>0</v>
      </c>
      <c r="F2772" s="148" t="s">
        <v>37</v>
      </c>
    </row>
    <row r="2773" spans="1:6" ht="15.75">
      <c r="A2773" t="str">
        <f t="shared" si="43"/>
        <v>BonvillarsPACECS</v>
      </c>
      <c r="C2773" s="148" t="s">
        <v>407</v>
      </c>
      <c r="D2773" s="148" t="s">
        <v>69</v>
      </c>
      <c r="E2773" s="148">
        <v>13436.25418061</v>
      </c>
      <c r="F2773" s="148" t="s">
        <v>37</v>
      </c>
    </row>
    <row r="2774" spans="1:6" ht="15.75">
      <c r="A2774" t="str">
        <f t="shared" si="43"/>
        <v>BonvillarsSolaireECS</v>
      </c>
      <c r="C2774" s="148" t="s">
        <v>407</v>
      </c>
      <c r="D2774" s="148" t="s">
        <v>240</v>
      </c>
      <c r="E2774" s="148">
        <v>88350.920000000013</v>
      </c>
      <c r="F2774" s="148" t="s">
        <v>37</v>
      </c>
    </row>
    <row r="2775" spans="1:6" ht="15.75">
      <c r="A2775" t="str">
        <f t="shared" si="43"/>
        <v>BonvillarsGazECS</v>
      </c>
      <c r="C2775" s="148" t="s">
        <v>407</v>
      </c>
      <c r="D2775" s="148" t="s">
        <v>239</v>
      </c>
      <c r="E2775" s="148">
        <v>2055.52941177</v>
      </c>
      <c r="F2775" s="148" t="s">
        <v>37</v>
      </c>
    </row>
    <row r="2776" spans="1:6" ht="15.75">
      <c r="A2776" t="str">
        <f t="shared" si="43"/>
        <v>BorexBoisECS</v>
      </c>
      <c r="C2776" s="148" t="s">
        <v>408</v>
      </c>
      <c r="D2776" s="148" t="s">
        <v>66</v>
      </c>
      <c r="E2776" s="148">
        <v>246324.56470588999</v>
      </c>
      <c r="F2776" s="148" t="s">
        <v>37</v>
      </c>
    </row>
    <row r="2777" spans="1:6" ht="15.75">
      <c r="A2777" t="str">
        <f t="shared" si="43"/>
        <v>BorexCADECS</v>
      </c>
      <c r="C2777" s="148" t="s">
        <v>408</v>
      </c>
      <c r="D2777" s="148" t="s">
        <v>242</v>
      </c>
      <c r="E2777" s="148" t="e">
        <v>#N/A</v>
      </c>
      <c r="F2777" s="148" t="s">
        <v>37</v>
      </c>
    </row>
    <row r="2778" spans="1:6" ht="15.75">
      <c r="A2778" t="str">
        <f t="shared" si="43"/>
        <v>BorexElectricitéECS</v>
      </c>
      <c r="C2778" s="148" t="s">
        <v>408</v>
      </c>
      <c r="D2778" s="148" t="s">
        <v>97</v>
      </c>
      <c r="E2778" s="148">
        <v>403679.73333331005</v>
      </c>
      <c r="F2778" s="148" t="s">
        <v>37</v>
      </c>
    </row>
    <row r="2779" spans="1:6" ht="15.75">
      <c r="A2779" t="str">
        <f t="shared" si="43"/>
        <v>BorexGazECS</v>
      </c>
      <c r="C2779" s="148" t="s">
        <v>408</v>
      </c>
      <c r="D2779" s="148" t="s">
        <v>239</v>
      </c>
      <c r="E2779" s="148">
        <v>33382.588235299998</v>
      </c>
      <c r="F2779" s="148" t="s">
        <v>37</v>
      </c>
    </row>
    <row r="2780" spans="1:6" ht="15.75">
      <c r="A2780" t="str">
        <f t="shared" si="43"/>
        <v>BorexMazoutECS</v>
      </c>
      <c r="C2780" s="148" t="s">
        <v>408</v>
      </c>
      <c r="D2780" s="148" t="s">
        <v>70</v>
      </c>
      <c r="E2780" s="148">
        <v>668928.23529417987</v>
      </c>
      <c r="F2780" s="148" t="s">
        <v>37</v>
      </c>
    </row>
    <row r="2781" spans="1:6" ht="15.75">
      <c r="A2781" t="str">
        <f t="shared" si="43"/>
        <v>BorexPACECS</v>
      </c>
      <c r="C2781" s="148" t="s">
        <v>408</v>
      </c>
      <c r="D2781" s="148" t="s">
        <v>69</v>
      </c>
      <c r="E2781" s="148">
        <v>46438.622569080006</v>
      </c>
      <c r="F2781" s="148" t="s">
        <v>37</v>
      </c>
    </row>
    <row r="2782" spans="1:6" ht="15.75">
      <c r="A2782" t="str">
        <f t="shared" si="43"/>
        <v>BorexSolaireECS</v>
      </c>
      <c r="C2782" s="148" t="s">
        <v>408</v>
      </c>
      <c r="D2782" s="148" t="s">
        <v>240</v>
      </c>
      <c r="E2782" s="148">
        <v>74445.139999999985</v>
      </c>
      <c r="F2782" s="148" t="s">
        <v>37</v>
      </c>
    </row>
    <row r="2783" spans="1:6" ht="15.75">
      <c r="A2783" t="str">
        <f t="shared" si="43"/>
        <v>BottensAutre agent énergétiqueECS</v>
      </c>
      <c r="C2783" s="148" t="s">
        <v>409</v>
      </c>
      <c r="D2783" s="148" t="s">
        <v>245</v>
      </c>
      <c r="E2783" s="148">
        <v>2332.2352941200002</v>
      </c>
      <c r="F2783" s="148" t="s">
        <v>37</v>
      </c>
    </row>
    <row r="2784" spans="1:6" ht="15.75">
      <c r="A2784" t="str">
        <f t="shared" si="43"/>
        <v>BottensBoisECS</v>
      </c>
      <c r="C2784" s="148" t="s">
        <v>409</v>
      </c>
      <c r="D2784" s="148" t="s">
        <v>66</v>
      </c>
      <c r="E2784" s="148">
        <v>148060.44235294999</v>
      </c>
      <c r="F2784" s="148" t="s">
        <v>37</v>
      </c>
    </row>
    <row r="2785" spans="1:6" ht="15.75">
      <c r="A2785" t="str">
        <f t="shared" si="43"/>
        <v>BottensCADECS</v>
      </c>
      <c r="C2785" s="148" t="s">
        <v>409</v>
      </c>
      <c r="D2785" s="148" t="s">
        <v>242</v>
      </c>
      <c r="E2785" s="148" t="e">
        <v>#N/A</v>
      </c>
      <c r="F2785" s="148" t="s">
        <v>37</v>
      </c>
    </row>
    <row r="2786" spans="1:6" ht="15.75">
      <c r="A2786" t="str">
        <f t="shared" si="43"/>
        <v>BottensElectricitéECS</v>
      </c>
      <c r="C2786" s="148" t="s">
        <v>409</v>
      </c>
      <c r="D2786" s="148" t="s">
        <v>97</v>
      </c>
      <c r="E2786" s="148">
        <v>400314.44444444001</v>
      </c>
      <c r="F2786" s="148" t="s">
        <v>37</v>
      </c>
    </row>
    <row r="2787" spans="1:6" ht="15.75">
      <c r="A2787" t="str">
        <f t="shared" si="43"/>
        <v>BottensGazECS</v>
      </c>
      <c r="C2787" s="148" t="s">
        <v>409</v>
      </c>
      <c r="D2787" s="148" t="s">
        <v>239</v>
      </c>
      <c r="E2787" s="148">
        <v>311585.32838876999</v>
      </c>
      <c r="F2787" s="148" t="s">
        <v>37</v>
      </c>
    </row>
    <row r="2788" spans="1:6" ht="15.75">
      <c r="A2788" t="str">
        <f t="shared" si="43"/>
        <v>BottensMazoutECS</v>
      </c>
      <c r="C2788" s="148" t="s">
        <v>409</v>
      </c>
      <c r="D2788" s="148" t="s">
        <v>70</v>
      </c>
      <c r="E2788" s="148">
        <v>586524.23529410991</v>
      </c>
      <c r="F2788" s="148" t="s">
        <v>37</v>
      </c>
    </row>
    <row r="2789" spans="1:6" ht="15.75">
      <c r="A2789" t="str">
        <f t="shared" si="43"/>
        <v>BottensNon renseignéECS</v>
      </c>
      <c r="C2789" s="148" t="s">
        <v>409</v>
      </c>
      <c r="D2789" s="148" t="s">
        <v>696</v>
      </c>
      <c r="E2789" s="148">
        <v>0</v>
      </c>
      <c r="F2789" s="148" t="s">
        <v>37</v>
      </c>
    </row>
    <row r="2790" spans="1:6" ht="15.75">
      <c r="A2790" t="str">
        <f t="shared" si="43"/>
        <v>BottensPACECS</v>
      </c>
      <c r="C2790" s="148" t="s">
        <v>409</v>
      </c>
      <c r="D2790" s="148" t="s">
        <v>69</v>
      </c>
      <c r="E2790" s="148">
        <v>14454.2742475</v>
      </c>
      <c r="F2790" s="148" t="s">
        <v>37</v>
      </c>
    </row>
    <row r="2791" spans="1:6" ht="15.75">
      <c r="A2791" t="str">
        <f t="shared" si="43"/>
        <v>BottensSolaireECS</v>
      </c>
      <c r="C2791" s="148" t="s">
        <v>409</v>
      </c>
      <c r="D2791" s="148" t="s">
        <v>240</v>
      </c>
      <c r="E2791" s="148">
        <v>293704.59999999992</v>
      </c>
      <c r="F2791" s="148" t="s">
        <v>37</v>
      </c>
    </row>
    <row r="2792" spans="1:6" ht="15.75">
      <c r="A2792" t="str">
        <f t="shared" si="43"/>
        <v>Bougy-VillarsBoisECS</v>
      </c>
      <c r="C2792" s="148" t="s">
        <v>410</v>
      </c>
      <c r="D2792" s="148" t="s">
        <v>66</v>
      </c>
      <c r="E2792" s="148">
        <v>51916.480000000003</v>
      </c>
      <c r="F2792" s="148" t="s">
        <v>37</v>
      </c>
    </row>
    <row r="2793" spans="1:6" ht="15.75">
      <c r="A2793" t="str">
        <f t="shared" si="43"/>
        <v>Bougy-VillarsCADECS</v>
      </c>
      <c r="C2793" s="148" t="s">
        <v>410</v>
      </c>
      <c r="D2793" s="148" t="s">
        <v>242</v>
      </c>
      <c r="E2793" s="148" t="e">
        <v>#N/A</v>
      </c>
      <c r="F2793" s="148" t="s">
        <v>37</v>
      </c>
    </row>
    <row r="2794" spans="1:6" ht="15.75">
      <c r="A2794" t="str">
        <f t="shared" si="43"/>
        <v>Bougy-VillarsElectricitéECS</v>
      </c>
      <c r="C2794" s="148" t="s">
        <v>410</v>
      </c>
      <c r="D2794" s="148" t="s">
        <v>97</v>
      </c>
      <c r="E2794" s="148">
        <v>154216.22222223997</v>
      </c>
      <c r="F2794" s="148" t="s">
        <v>37</v>
      </c>
    </row>
    <row r="2795" spans="1:6" ht="15.75">
      <c r="A2795" t="str">
        <f t="shared" si="43"/>
        <v>Bougy-VillarsGazECS</v>
      </c>
      <c r="C2795" s="148" t="s">
        <v>410</v>
      </c>
      <c r="D2795" s="148" t="s">
        <v>239</v>
      </c>
      <c r="E2795" s="148">
        <v>21598.240409210001</v>
      </c>
      <c r="F2795" s="148" t="s">
        <v>37</v>
      </c>
    </row>
    <row r="2796" spans="1:6" ht="15.75">
      <c r="A2796" t="str">
        <f t="shared" si="43"/>
        <v>Bougy-VillarsMazoutECS</v>
      </c>
      <c r="C2796" s="148" t="s">
        <v>410</v>
      </c>
      <c r="D2796" s="148" t="s">
        <v>70</v>
      </c>
      <c r="E2796" s="148">
        <v>569949.88235296973</v>
      </c>
      <c r="F2796" s="148" t="s">
        <v>37</v>
      </c>
    </row>
    <row r="2797" spans="1:6" ht="15.75">
      <c r="A2797" t="str">
        <f t="shared" si="43"/>
        <v>Bougy-VillarsNon renseignéECS</v>
      </c>
      <c r="C2797" s="148" t="s">
        <v>410</v>
      </c>
      <c r="D2797" s="148" t="s">
        <v>696</v>
      </c>
      <c r="E2797" s="148">
        <v>0</v>
      </c>
      <c r="F2797" s="148" t="s">
        <v>37</v>
      </c>
    </row>
    <row r="2798" spans="1:6" ht="15.75">
      <c r="A2798" t="str">
        <f t="shared" si="43"/>
        <v>Bougy-VillarsPACECS</v>
      </c>
      <c r="C2798" s="148" t="s">
        <v>410</v>
      </c>
      <c r="D2798" s="148" t="s">
        <v>69</v>
      </c>
      <c r="E2798" s="148">
        <v>25347.01127214</v>
      </c>
      <c r="F2798" s="148" t="s">
        <v>37</v>
      </c>
    </row>
    <row r="2799" spans="1:6" ht="15.75">
      <c r="A2799" t="str">
        <f t="shared" si="43"/>
        <v>Bougy-VillarsSolaireECS</v>
      </c>
      <c r="C2799" s="148" t="s">
        <v>410</v>
      </c>
      <c r="D2799" s="148" t="s">
        <v>240</v>
      </c>
      <c r="E2799" s="148">
        <v>59863.999999999985</v>
      </c>
      <c r="F2799" s="148" t="s">
        <v>37</v>
      </c>
    </row>
    <row r="2800" spans="1:6" ht="15.75">
      <c r="A2800" t="str">
        <f t="shared" si="43"/>
        <v>BoulensBoisECS</v>
      </c>
      <c r="C2800" s="148" t="s">
        <v>411</v>
      </c>
      <c r="D2800" s="148" t="s">
        <v>66</v>
      </c>
      <c r="E2800" s="148">
        <v>49675.414901949996</v>
      </c>
      <c r="F2800" s="148" t="s">
        <v>37</v>
      </c>
    </row>
    <row r="2801" spans="1:6" ht="15.75">
      <c r="A2801" t="str">
        <f t="shared" si="43"/>
        <v>BoulensElectricitéECS</v>
      </c>
      <c r="C2801" s="148" t="s">
        <v>411</v>
      </c>
      <c r="D2801" s="148" t="s">
        <v>97</v>
      </c>
      <c r="E2801" s="148">
        <v>102084.88888888998</v>
      </c>
      <c r="F2801" s="148" t="s">
        <v>37</v>
      </c>
    </row>
    <row r="2802" spans="1:6" ht="15.75">
      <c r="A2802" t="str">
        <f t="shared" si="43"/>
        <v>BoulensGazECS</v>
      </c>
      <c r="C2802" s="148" t="s">
        <v>411</v>
      </c>
      <c r="D2802" s="148" t="s">
        <v>239</v>
      </c>
      <c r="E2802" s="148">
        <v>127969.11253196998</v>
      </c>
      <c r="F2802" s="148" t="s">
        <v>37</v>
      </c>
    </row>
    <row r="2803" spans="1:6" ht="15.75">
      <c r="A2803" t="str">
        <f t="shared" si="43"/>
        <v>BoulensMazoutECS</v>
      </c>
      <c r="C2803" s="148" t="s">
        <v>411</v>
      </c>
      <c r="D2803" s="148" t="s">
        <v>70</v>
      </c>
      <c r="E2803" s="148">
        <v>194092.70588234998</v>
      </c>
      <c r="F2803" s="148" t="s">
        <v>37</v>
      </c>
    </row>
    <row r="2804" spans="1:6" ht="15.75">
      <c r="A2804" t="str">
        <f t="shared" si="43"/>
        <v>BoulensNon renseignéECS</v>
      </c>
      <c r="C2804" s="148" t="s">
        <v>411</v>
      </c>
      <c r="D2804" s="148" t="s">
        <v>696</v>
      </c>
      <c r="E2804" s="148">
        <v>0</v>
      </c>
      <c r="F2804" s="148" t="s">
        <v>37</v>
      </c>
    </row>
    <row r="2805" spans="1:6" ht="15.75">
      <c r="A2805" t="str">
        <f t="shared" si="43"/>
        <v>BoulensPACECS</v>
      </c>
      <c r="C2805" s="148" t="s">
        <v>411</v>
      </c>
      <c r="D2805" s="148" t="s">
        <v>69</v>
      </c>
      <c r="E2805" s="148">
        <v>6758.7692307699999</v>
      </c>
      <c r="F2805" s="148" t="s">
        <v>37</v>
      </c>
    </row>
    <row r="2806" spans="1:6" ht="15.75">
      <c r="A2806" t="str">
        <f t="shared" si="43"/>
        <v>BoulensSolaireECS</v>
      </c>
      <c r="C2806" s="148" t="s">
        <v>411</v>
      </c>
      <c r="D2806" s="148" t="s">
        <v>240</v>
      </c>
      <c r="E2806" s="148">
        <v>95071.2</v>
      </c>
      <c r="F2806" s="148" t="s">
        <v>37</v>
      </c>
    </row>
    <row r="2807" spans="1:6" ht="15.75">
      <c r="A2807" t="str">
        <f t="shared" si="43"/>
        <v>Bourg-en-LavauxAutre agent énergétiqueECS</v>
      </c>
      <c r="C2807" s="148" t="s">
        <v>666</v>
      </c>
      <c r="D2807" s="148" t="s">
        <v>245</v>
      </c>
      <c r="E2807" s="148">
        <v>0</v>
      </c>
      <c r="F2807" s="148" t="s">
        <v>37</v>
      </c>
    </row>
    <row r="2808" spans="1:6" ht="15.75">
      <c r="A2808" t="str">
        <f t="shared" si="43"/>
        <v>Bourg-en-LavauxBoisECS</v>
      </c>
      <c r="C2808" s="148" t="s">
        <v>666</v>
      </c>
      <c r="D2808" s="148" t="s">
        <v>66</v>
      </c>
      <c r="E2808" s="148">
        <v>292227.76470589993</v>
      </c>
      <c r="F2808" s="148" t="s">
        <v>37</v>
      </c>
    </row>
    <row r="2809" spans="1:6" ht="15.75">
      <c r="A2809" t="str">
        <f t="shared" si="43"/>
        <v>Bourg-en-LavauxCADECS</v>
      </c>
      <c r="C2809" s="148" t="s">
        <v>666</v>
      </c>
      <c r="D2809" s="148" t="s">
        <v>242</v>
      </c>
      <c r="E2809" s="148">
        <v>58262.400000000001</v>
      </c>
      <c r="F2809" s="148" t="s">
        <v>37</v>
      </c>
    </row>
    <row r="2810" spans="1:6" ht="15.75">
      <c r="A2810" t="str">
        <f t="shared" si="43"/>
        <v>Bourg-en-LavauxCharbonECS</v>
      </c>
      <c r="C2810" s="148" t="s">
        <v>666</v>
      </c>
      <c r="D2810" s="148" t="s">
        <v>695</v>
      </c>
      <c r="E2810" s="148" t="e">
        <v>#N/A</v>
      </c>
      <c r="F2810" s="148" t="s">
        <v>37</v>
      </c>
    </row>
    <row r="2811" spans="1:6" ht="15.75">
      <c r="A2811" t="str">
        <f t="shared" si="43"/>
        <v>Bourg-en-LavauxElectricitéECS</v>
      </c>
      <c r="C2811" s="148" t="s">
        <v>666</v>
      </c>
      <c r="D2811" s="148" t="s">
        <v>97</v>
      </c>
      <c r="E2811" s="148">
        <v>2091084.4111111297</v>
      </c>
      <c r="F2811" s="148" t="s">
        <v>37</v>
      </c>
    </row>
    <row r="2812" spans="1:6" ht="15.75">
      <c r="A2812" t="str">
        <f t="shared" si="43"/>
        <v>Bourg-en-LavauxGazECS</v>
      </c>
      <c r="C2812" s="148" t="s">
        <v>666</v>
      </c>
      <c r="D2812" s="148" t="s">
        <v>239</v>
      </c>
      <c r="E2812" s="148">
        <v>1190034.7493606003</v>
      </c>
      <c r="F2812" s="148" t="s">
        <v>37</v>
      </c>
    </row>
    <row r="2813" spans="1:6" ht="15.75">
      <c r="A2813" t="str">
        <f t="shared" si="43"/>
        <v>Bourg-en-LavauxMazoutECS</v>
      </c>
      <c r="C2813" s="148" t="s">
        <v>666</v>
      </c>
      <c r="D2813" s="148" t="s">
        <v>70</v>
      </c>
      <c r="E2813" s="148">
        <v>4856494.4235293893</v>
      </c>
      <c r="F2813" s="148" t="s">
        <v>37</v>
      </c>
    </row>
    <row r="2814" spans="1:6" ht="15.75">
      <c r="A2814" t="str">
        <f t="shared" si="43"/>
        <v>Bourg-en-LavauxNon renseignéECS</v>
      </c>
      <c r="C2814" s="148" t="s">
        <v>666</v>
      </c>
      <c r="D2814" s="148" t="s">
        <v>696</v>
      </c>
      <c r="E2814" s="148">
        <v>0</v>
      </c>
      <c r="F2814" s="148" t="s">
        <v>37</v>
      </c>
    </row>
    <row r="2815" spans="1:6" ht="15.75">
      <c r="A2815" t="str">
        <f t="shared" si="43"/>
        <v>Bourg-en-LavauxPACECS</v>
      </c>
      <c r="C2815" s="148" t="s">
        <v>666</v>
      </c>
      <c r="D2815" s="148" t="s">
        <v>69</v>
      </c>
      <c r="E2815" s="148">
        <v>132123.71671004</v>
      </c>
      <c r="F2815" s="148" t="s">
        <v>37</v>
      </c>
    </row>
    <row r="2816" spans="1:6" ht="15.75">
      <c r="A2816" t="str">
        <f t="shared" si="43"/>
        <v>Bourg-en-LavauxSolaireECS</v>
      </c>
      <c r="C2816" s="148" t="s">
        <v>666</v>
      </c>
      <c r="D2816" s="148" t="s">
        <v>240</v>
      </c>
      <c r="E2816" s="148">
        <v>359734.52307692007</v>
      </c>
      <c r="F2816" s="148" t="s">
        <v>37</v>
      </c>
    </row>
    <row r="2817" spans="1:6" ht="15.75">
      <c r="A2817" t="str">
        <f t="shared" si="43"/>
        <v>BournensBoisECS</v>
      </c>
      <c r="C2817" s="148" t="s">
        <v>412</v>
      </c>
      <c r="D2817" s="148" t="s">
        <v>66</v>
      </c>
      <c r="E2817" s="148">
        <v>30655.498039210004</v>
      </c>
      <c r="F2817" s="148" t="s">
        <v>37</v>
      </c>
    </row>
    <row r="2818" spans="1:6" ht="15.75">
      <c r="A2818" t="str">
        <f t="shared" si="43"/>
        <v>BournensElectricitéECS</v>
      </c>
      <c r="C2818" s="148" t="s">
        <v>412</v>
      </c>
      <c r="D2818" s="148" t="s">
        <v>97</v>
      </c>
      <c r="E2818" s="148">
        <v>172526.66666667999</v>
      </c>
      <c r="F2818" s="148" t="s">
        <v>37</v>
      </c>
    </row>
    <row r="2819" spans="1:6" ht="15.75">
      <c r="A2819" t="str">
        <f t="shared" si="43"/>
        <v>BournensGazECS</v>
      </c>
      <c r="C2819" s="148" t="s">
        <v>412</v>
      </c>
      <c r="D2819" s="148" t="s">
        <v>239</v>
      </c>
      <c r="E2819" s="148">
        <v>199047.29156011995</v>
      </c>
      <c r="F2819" s="148" t="s">
        <v>37</v>
      </c>
    </row>
    <row r="2820" spans="1:6" ht="15.75">
      <c r="A2820" t="str">
        <f t="shared" si="43"/>
        <v>BournensMazoutECS</v>
      </c>
      <c r="C2820" s="148" t="s">
        <v>412</v>
      </c>
      <c r="D2820" s="148" t="s">
        <v>70</v>
      </c>
      <c r="E2820" s="148">
        <v>92709.647058860006</v>
      </c>
      <c r="F2820" s="148" t="s">
        <v>37</v>
      </c>
    </row>
    <row r="2821" spans="1:6" ht="15.75">
      <c r="A2821" t="str">
        <f t="shared" si="43"/>
        <v>BournensNon renseignéECS</v>
      </c>
      <c r="C2821" s="148" t="s">
        <v>412</v>
      </c>
      <c r="D2821" s="148" t="s">
        <v>696</v>
      </c>
      <c r="E2821" s="148">
        <v>0</v>
      </c>
      <c r="F2821" s="148" t="s">
        <v>37</v>
      </c>
    </row>
    <row r="2822" spans="1:6" ht="15.75">
      <c r="A2822" t="str">
        <f t="shared" si="43"/>
        <v>BournensPACECS</v>
      </c>
      <c r="C2822" s="148" t="s">
        <v>412</v>
      </c>
      <c r="D2822" s="148" t="s">
        <v>69</v>
      </c>
      <c r="E2822" s="148">
        <v>34076.199430199995</v>
      </c>
      <c r="F2822" s="148" t="s">
        <v>37</v>
      </c>
    </row>
    <row r="2823" spans="1:6" ht="15.75">
      <c r="A2823" t="str">
        <f t="shared" si="43"/>
        <v>BournensSolaireECS</v>
      </c>
      <c r="C2823" s="148" t="s">
        <v>412</v>
      </c>
      <c r="D2823" s="148" t="s">
        <v>240</v>
      </c>
      <c r="E2823" s="148">
        <v>95807.6</v>
      </c>
      <c r="F2823" s="148" t="s">
        <v>37</v>
      </c>
    </row>
    <row r="2824" spans="1:6" ht="15.75">
      <c r="A2824" t="str">
        <f t="shared" si="43"/>
        <v>BoussensBoisECS</v>
      </c>
      <c r="C2824" s="148" t="s">
        <v>413</v>
      </c>
      <c r="D2824" s="148" t="s">
        <v>66</v>
      </c>
      <c r="E2824" s="148">
        <v>65197.12156864001</v>
      </c>
      <c r="F2824" s="148" t="s">
        <v>37</v>
      </c>
    </row>
    <row r="2825" spans="1:6" ht="15.75">
      <c r="A2825" t="str">
        <f t="shared" si="43"/>
        <v>BoussensElectricitéECS</v>
      </c>
      <c r="C2825" s="148" t="s">
        <v>413</v>
      </c>
      <c r="D2825" s="148" t="s">
        <v>97</v>
      </c>
      <c r="E2825" s="148">
        <v>266381.11111111008</v>
      </c>
      <c r="F2825" s="148" t="s">
        <v>37</v>
      </c>
    </row>
    <row r="2826" spans="1:6" ht="15.75">
      <c r="A2826" t="str">
        <f t="shared" si="43"/>
        <v>BoussensGazECS</v>
      </c>
      <c r="C2826" s="148" t="s">
        <v>413</v>
      </c>
      <c r="D2826" s="148" t="s">
        <v>239</v>
      </c>
      <c r="E2826" s="148">
        <v>573270.37084400991</v>
      </c>
      <c r="F2826" s="148" t="s">
        <v>37</v>
      </c>
    </row>
    <row r="2827" spans="1:6" ht="15.75">
      <c r="A2827" t="str">
        <f t="shared" ref="A2827:A2890" si="44">_xlfn.CONCAT(C2827,D2827,F2827)</f>
        <v>BoussensMazoutECS</v>
      </c>
      <c r="C2827" s="148" t="s">
        <v>413</v>
      </c>
      <c r="D2827" s="148" t="s">
        <v>70</v>
      </c>
      <c r="E2827" s="148">
        <v>273019.76470588997</v>
      </c>
      <c r="F2827" s="148" t="s">
        <v>37</v>
      </c>
    </row>
    <row r="2828" spans="1:6" ht="15.75">
      <c r="A2828" t="str">
        <f t="shared" si="44"/>
        <v>BoussensNon renseignéECS</v>
      </c>
      <c r="C2828" s="148" t="s">
        <v>413</v>
      </c>
      <c r="D2828" s="148" t="s">
        <v>696</v>
      </c>
      <c r="E2828" s="148">
        <v>0</v>
      </c>
      <c r="F2828" s="148" t="s">
        <v>37</v>
      </c>
    </row>
    <row r="2829" spans="1:6" ht="15.75">
      <c r="A2829" t="str">
        <f t="shared" si="44"/>
        <v>BoussensPACECS</v>
      </c>
      <c r="C2829" s="148" t="s">
        <v>413</v>
      </c>
      <c r="D2829" s="148" t="s">
        <v>69</v>
      </c>
      <c r="E2829" s="148">
        <v>15436.49572649</v>
      </c>
      <c r="F2829" s="148" t="s">
        <v>37</v>
      </c>
    </row>
    <row r="2830" spans="1:6" ht="15.75">
      <c r="A2830" t="str">
        <f t="shared" si="44"/>
        <v>BoussensSolaireECS</v>
      </c>
      <c r="C2830" s="148" t="s">
        <v>413</v>
      </c>
      <c r="D2830" s="148" t="s">
        <v>240</v>
      </c>
      <c r="E2830" s="148">
        <v>142571.1</v>
      </c>
      <c r="F2830" s="148" t="s">
        <v>37</v>
      </c>
    </row>
    <row r="2831" spans="1:6" ht="15.75">
      <c r="A2831" t="str">
        <f t="shared" si="44"/>
        <v>BremblensElectricitéECS</v>
      </c>
      <c r="C2831" s="148" t="s">
        <v>414</v>
      </c>
      <c r="D2831" s="148" t="s">
        <v>97</v>
      </c>
      <c r="E2831" s="148">
        <v>199963.55555555999</v>
      </c>
      <c r="F2831" s="148" t="s">
        <v>37</v>
      </c>
    </row>
    <row r="2832" spans="1:6" ht="15.75">
      <c r="A2832" t="str">
        <f t="shared" si="44"/>
        <v>BremblensGazECS</v>
      </c>
      <c r="C2832" s="148" t="s">
        <v>414</v>
      </c>
      <c r="D2832" s="148" t="s">
        <v>239</v>
      </c>
      <c r="E2832" s="148">
        <v>351846.30639380991</v>
      </c>
      <c r="F2832" s="148" t="s">
        <v>37</v>
      </c>
    </row>
    <row r="2833" spans="1:6" ht="15.75">
      <c r="A2833" t="str">
        <f t="shared" si="44"/>
        <v>BremblensMazoutECS</v>
      </c>
      <c r="C2833" s="148" t="s">
        <v>414</v>
      </c>
      <c r="D2833" s="148" t="s">
        <v>70</v>
      </c>
      <c r="E2833" s="148">
        <v>269040.47058821993</v>
      </c>
      <c r="F2833" s="148" t="s">
        <v>37</v>
      </c>
    </row>
    <row r="2834" spans="1:6" ht="15.75">
      <c r="A2834" t="str">
        <f t="shared" si="44"/>
        <v>BremblensNon renseignéECS</v>
      </c>
      <c r="C2834" s="148" t="s">
        <v>414</v>
      </c>
      <c r="D2834" s="148" t="s">
        <v>696</v>
      </c>
      <c r="E2834" s="148">
        <v>0</v>
      </c>
      <c r="F2834" s="148" t="s">
        <v>37</v>
      </c>
    </row>
    <row r="2835" spans="1:6" ht="15.75">
      <c r="A2835" t="str">
        <f t="shared" si="44"/>
        <v>BremblensPACECS</v>
      </c>
      <c r="C2835" s="148" t="s">
        <v>414</v>
      </c>
      <c r="D2835" s="148" t="s">
        <v>69</v>
      </c>
      <c r="E2835" s="148">
        <v>5905.4403567499994</v>
      </c>
      <c r="F2835" s="148" t="s">
        <v>37</v>
      </c>
    </row>
    <row r="2836" spans="1:6" ht="15.75">
      <c r="A2836" t="str">
        <f t="shared" si="44"/>
        <v>BremblensSolaireECS</v>
      </c>
      <c r="C2836" s="148" t="s">
        <v>414</v>
      </c>
      <c r="D2836" s="148" t="s">
        <v>240</v>
      </c>
      <c r="E2836" s="148">
        <v>40500.320000000007</v>
      </c>
      <c r="F2836" s="148" t="s">
        <v>37</v>
      </c>
    </row>
    <row r="2837" spans="1:6" ht="15.75">
      <c r="A2837" t="str">
        <f t="shared" si="44"/>
        <v>Bretigny-sur-MorrensAutre agent énergétiqueECS</v>
      </c>
      <c r="C2837" s="148" t="s">
        <v>665</v>
      </c>
      <c r="D2837" s="148" t="s">
        <v>245</v>
      </c>
      <c r="E2837" s="148" t="e">
        <v>#N/A</v>
      </c>
      <c r="F2837" s="148" t="s">
        <v>37</v>
      </c>
    </row>
    <row r="2838" spans="1:6" ht="15.75">
      <c r="A2838" t="str">
        <f t="shared" si="44"/>
        <v>Bretigny-sur-MorrensBoisECS</v>
      </c>
      <c r="C2838" s="148" t="s">
        <v>665</v>
      </c>
      <c r="D2838" s="148" t="s">
        <v>66</v>
      </c>
      <c r="E2838" s="148">
        <v>36161.94509804</v>
      </c>
      <c r="F2838" s="148" t="s">
        <v>37</v>
      </c>
    </row>
    <row r="2839" spans="1:6" ht="15.75">
      <c r="A2839" t="str">
        <f t="shared" si="44"/>
        <v>Bretigny-sur-MorrensCADECS</v>
      </c>
      <c r="C2839" s="148" t="s">
        <v>665</v>
      </c>
      <c r="D2839" s="148" t="s">
        <v>242</v>
      </c>
      <c r="E2839" s="148" t="e">
        <v>#N/A</v>
      </c>
      <c r="F2839" s="148" t="s">
        <v>37</v>
      </c>
    </row>
    <row r="2840" spans="1:6" ht="15.75">
      <c r="A2840" t="str">
        <f t="shared" si="44"/>
        <v>Bretigny-sur-MorrensElectricitéECS</v>
      </c>
      <c r="C2840" s="148" t="s">
        <v>665</v>
      </c>
      <c r="D2840" s="148" t="s">
        <v>97</v>
      </c>
      <c r="E2840" s="148">
        <v>243706.32679740005</v>
      </c>
      <c r="F2840" s="148" t="s">
        <v>37</v>
      </c>
    </row>
    <row r="2841" spans="1:6" ht="15.75">
      <c r="A2841" t="str">
        <f t="shared" si="44"/>
        <v>Bretigny-sur-MorrensGazECS</v>
      </c>
      <c r="C2841" s="148" t="s">
        <v>665</v>
      </c>
      <c r="D2841" s="148" t="s">
        <v>239</v>
      </c>
      <c r="E2841" s="148">
        <v>287212.25575448002</v>
      </c>
      <c r="F2841" s="148" t="s">
        <v>37</v>
      </c>
    </row>
    <row r="2842" spans="1:6" ht="15.75">
      <c r="A2842" t="str">
        <f t="shared" si="44"/>
        <v>Bretigny-sur-MorrensMazoutECS</v>
      </c>
      <c r="C2842" s="148" t="s">
        <v>665</v>
      </c>
      <c r="D2842" s="148" t="s">
        <v>70</v>
      </c>
      <c r="E2842" s="148">
        <v>536720.47058822995</v>
      </c>
      <c r="F2842" s="148" t="s">
        <v>37</v>
      </c>
    </row>
    <row r="2843" spans="1:6" ht="15.75">
      <c r="A2843" t="str">
        <f t="shared" si="44"/>
        <v>Bretigny-sur-MorrensNon renseignéECS</v>
      </c>
      <c r="C2843" s="148" t="s">
        <v>665</v>
      </c>
      <c r="D2843" s="148" t="s">
        <v>696</v>
      </c>
      <c r="E2843" s="148">
        <v>0</v>
      </c>
      <c r="F2843" s="148" t="s">
        <v>37</v>
      </c>
    </row>
    <row r="2844" spans="1:6" ht="15.75">
      <c r="A2844" t="str">
        <f t="shared" si="44"/>
        <v>Bretigny-sur-MorrensPACECS</v>
      </c>
      <c r="C2844" s="148" t="s">
        <v>665</v>
      </c>
      <c r="D2844" s="148" t="s">
        <v>69</v>
      </c>
      <c r="E2844" s="148">
        <v>34621.481481479997</v>
      </c>
      <c r="F2844" s="148" t="s">
        <v>37</v>
      </c>
    </row>
    <row r="2845" spans="1:6" ht="15.75">
      <c r="A2845" t="str">
        <f t="shared" si="44"/>
        <v>Bretigny-sur-MorrensSolaireECS</v>
      </c>
      <c r="C2845" s="148" t="s">
        <v>665</v>
      </c>
      <c r="D2845" s="148" t="s">
        <v>240</v>
      </c>
      <c r="E2845" s="148">
        <v>123806.90000000002</v>
      </c>
      <c r="F2845" s="148" t="s">
        <v>37</v>
      </c>
    </row>
    <row r="2846" spans="1:6" ht="15.75">
      <c r="A2846" t="str">
        <f t="shared" si="44"/>
        <v>BretonnièresBoisECS</v>
      </c>
      <c r="C2846" s="148" t="s">
        <v>664</v>
      </c>
      <c r="D2846" s="148" t="s">
        <v>66</v>
      </c>
      <c r="E2846" s="148">
        <v>76138.610196069989</v>
      </c>
      <c r="F2846" s="148" t="s">
        <v>37</v>
      </c>
    </row>
    <row r="2847" spans="1:6" ht="15.75">
      <c r="A2847" t="str">
        <f t="shared" si="44"/>
        <v>BretonnièresElectricitéECS</v>
      </c>
      <c r="C2847" s="148" t="s">
        <v>664</v>
      </c>
      <c r="D2847" s="148" t="s">
        <v>97</v>
      </c>
      <c r="E2847" s="148">
        <v>82728.488888879991</v>
      </c>
      <c r="F2847" s="148" t="s">
        <v>37</v>
      </c>
    </row>
    <row r="2848" spans="1:6" ht="15.75">
      <c r="A2848" t="str">
        <f t="shared" si="44"/>
        <v>BretonnièresMazoutECS</v>
      </c>
      <c r="C2848" s="148" t="s">
        <v>664</v>
      </c>
      <c r="D2848" s="148" t="s">
        <v>70</v>
      </c>
      <c r="E2848" s="148">
        <v>213360.33689840999</v>
      </c>
      <c r="F2848" s="148" t="s">
        <v>37</v>
      </c>
    </row>
    <row r="2849" spans="1:6" ht="15.75">
      <c r="A2849" t="str">
        <f t="shared" si="44"/>
        <v>BretonnièresNon renseignéECS</v>
      </c>
      <c r="C2849" s="148" t="s">
        <v>664</v>
      </c>
      <c r="D2849" s="148" t="s">
        <v>696</v>
      </c>
      <c r="E2849" s="148">
        <v>0</v>
      </c>
      <c r="F2849" s="148" t="s">
        <v>37</v>
      </c>
    </row>
    <row r="2850" spans="1:6" ht="15.75">
      <c r="A2850" t="str">
        <f t="shared" si="44"/>
        <v>BretonnièresPACECS</v>
      </c>
      <c r="C2850" s="148" t="s">
        <v>664</v>
      </c>
      <c r="D2850" s="148" t="s">
        <v>69</v>
      </c>
      <c r="E2850" s="148">
        <v>8312.9686609599994</v>
      </c>
      <c r="F2850" s="148" t="s">
        <v>37</v>
      </c>
    </row>
    <row r="2851" spans="1:6" ht="15.75">
      <c r="A2851" t="str">
        <f t="shared" si="44"/>
        <v>BretonnièresSolaireECS</v>
      </c>
      <c r="C2851" s="148" t="s">
        <v>664</v>
      </c>
      <c r="D2851" s="148" t="s">
        <v>240</v>
      </c>
      <c r="E2851" s="148">
        <v>31690.399999999998</v>
      </c>
      <c r="F2851" s="148" t="s">
        <v>37</v>
      </c>
    </row>
    <row r="2852" spans="1:6" ht="15.75">
      <c r="A2852" t="str">
        <f t="shared" si="44"/>
        <v>BuchillonBoisECS</v>
      </c>
      <c r="C2852" s="148" t="s">
        <v>415</v>
      </c>
      <c r="D2852" s="148" t="s">
        <v>66</v>
      </c>
      <c r="E2852" s="148">
        <v>37903.654901959999</v>
      </c>
      <c r="F2852" s="148" t="s">
        <v>37</v>
      </c>
    </row>
    <row r="2853" spans="1:6" ht="15.75">
      <c r="A2853" t="str">
        <f t="shared" si="44"/>
        <v>BuchillonCADECS</v>
      </c>
      <c r="C2853" s="148" t="s">
        <v>415</v>
      </c>
      <c r="D2853" s="148" t="s">
        <v>242</v>
      </c>
      <c r="E2853" s="148">
        <v>10203.200000000001</v>
      </c>
      <c r="F2853" s="148" t="s">
        <v>37</v>
      </c>
    </row>
    <row r="2854" spans="1:6" ht="15.75">
      <c r="A2854" t="str">
        <f t="shared" si="44"/>
        <v>BuchillonElectricitéECS</v>
      </c>
      <c r="C2854" s="148" t="s">
        <v>415</v>
      </c>
      <c r="D2854" s="148" t="s">
        <v>97</v>
      </c>
      <c r="E2854" s="148">
        <v>185471.99999998006</v>
      </c>
      <c r="F2854" s="148" t="s">
        <v>37</v>
      </c>
    </row>
    <row r="2855" spans="1:6" ht="15.75">
      <c r="A2855" t="str">
        <f t="shared" si="44"/>
        <v>BuchillonGazECS</v>
      </c>
      <c r="C2855" s="148" t="s">
        <v>415</v>
      </c>
      <c r="D2855" s="148" t="s">
        <v>239</v>
      </c>
      <c r="E2855" s="148">
        <v>306388.46035807993</v>
      </c>
      <c r="F2855" s="148" t="s">
        <v>37</v>
      </c>
    </row>
    <row r="2856" spans="1:6" ht="15.75">
      <c r="A2856" t="str">
        <f t="shared" si="44"/>
        <v>BuchillonMazoutECS</v>
      </c>
      <c r="C2856" s="148" t="s">
        <v>415</v>
      </c>
      <c r="D2856" s="148" t="s">
        <v>70</v>
      </c>
      <c r="E2856" s="148">
        <v>358393.41176469007</v>
      </c>
      <c r="F2856" s="148" t="s">
        <v>37</v>
      </c>
    </row>
    <row r="2857" spans="1:6" ht="15.75">
      <c r="A2857" t="str">
        <f t="shared" si="44"/>
        <v>BuchillonNon renseignéECS</v>
      </c>
      <c r="C2857" s="148" t="s">
        <v>415</v>
      </c>
      <c r="D2857" s="148" t="s">
        <v>696</v>
      </c>
      <c r="E2857" s="148">
        <v>0</v>
      </c>
      <c r="F2857" s="148" t="s">
        <v>37</v>
      </c>
    </row>
    <row r="2858" spans="1:6" ht="15.75">
      <c r="A2858" t="str">
        <f t="shared" si="44"/>
        <v>BuchillonPACECS</v>
      </c>
      <c r="C2858" s="148" t="s">
        <v>415</v>
      </c>
      <c r="D2858" s="148" t="s">
        <v>69</v>
      </c>
      <c r="E2858" s="148">
        <v>26366.985754990001</v>
      </c>
      <c r="F2858" s="148" t="s">
        <v>37</v>
      </c>
    </row>
    <row r="2859" spans="1:6" ht="15.75">
      <c r="A2859" t="str">
        <f t="shared" si="44"/>
        <v>BuchillonSolaireECS</v>
      </c>
      <c r="C2859" s="148" t="s">
        <v>415</v>
      </c>
      <c r="D2859" s="148" t="s">
        <v>240</v>
      </c>
      <c r="E2859" s="148">
        <v>131360.6</v>
      </c>
      <c r="F2859" s="148" t="s">
        <v>37</v>
      </c>
    </row>
    <row r="2860" spans="1:6" ht="15.75">
      <c r="A2860" t="str">
        <f t="shared" si="44"/>
        <v>BulletAutre agent énergétiqueECS</v>
      </c>
      <c r="C2860" s="148" t="s">
        <v>416</v>
      </c>
      <c r="D2860" s="148" t="s">
        <v>245</v>
      </c>
      <c r="E2860" s="148">
        <v>6838.5882352999997</v>
      </c>
      <c r="F2860" s="148" t="s">
        <v>37</v>
      </c>
    </row>
    <row r="2861" spans="1:6" ht="15.75">
      <c r="A2861" t="str">
        <f t="shared" si="44"/>
        <v>BulletBoisECS</v>
      </c>
      <c r="C2861" s="148" t="s">
        <v>416</v>
      </c>
      <c r="D2861" s="148" t="s">
        <v>66</v>
      </c>
      <c r="E2861" s="148">
        <v>261387.29098040002</v>
      </c>
      <c r="F2861" s="148" t="s">
        <v>37</v>
      </c>
    </row>
    <row r="2862" spans="1:6" ht="15.75">
      <c r="A2862" t="str">
        <f t="shared" si="44"/>
        <v>BulletCADECS</v>
      </c>
      <c r="C2862" s="148" t="s">
        <v>416</v>
      </c>
      <c r="D2862" s="148" t="s">
        <v>242</v>
      </c>
      <c r="E2862" s="148">
        <v>806.4</v>
      </c>
      <c r="F2862" s="148" t="s">
        <v>37</v>
      </c>
    </row>
    <row r="2863" spans="1:6" ht="15.75">
      <c r="A2863" t="str">
        <f t="shared" si="44"/>
        <v>BulletElectricitéECS</v>
      </c>
      <c r="C2863" s="148" t="s">
        <v>416</v>
      </c>
      <c r="D2863" s="148" t="s">
        <v>97</v>
      </c>
      <c r="E2863" s="148">
        <v>539813.55555555993</v>
      </c>
      <c r="F2863" s="148" t="s">
        <v>37</v>
      </c>
    </row>
    <row r="2864" spans="1:6" ht="15.75">
      <c r="A2864" t="str">
        <f t="shared" si="44"/>
        <v>BulletGazECS</v>
      </c>
      <c r="C2864" s="148" t="s">
        <v>416</v>
      </c>
      <c r="D2864" s="148" t="s">
        <v>239</v>
      </c>
      <c r="E2864" s="148">
        <v>20792.47058823</v>
      </c>
      <c r="F2864" s="148" t="s">
        <v>37</v>
      </c>
    </row>
    <row r="2865" spans="1:6" ht="15.75">
      <c r="A2865" t="str">
        <f t="shared" si="44"/>
        <v>BulletMazoutECS</v>
      </c>
      <c r="C2865" s="148" t="s">
        <v>416</v>
      </c>
      <c r="D2865" s="148" t="s">
        <v>70</v>
      </c>
      <c r="E2865" s="148">
        <v>828687.34117644012</v>
      </c>
      <c r="F2865" s="148" t="s">
        <v>37</v>
      </c>
    </row>
    <row r="2866" spans="1:6" ht="15.75">
      <c r="A2866" t="str">
        <f t="shared" si="44"/>
        <v>BulletNon renseignéECS</v>
      </c>
      <c r="C2866" s="148" t="s">
        <v>416</v>
      </c>
      <c r="D2866" s="148" t="s">
        <v>696</v>
      </c>
      <c r="E2866" s="148">
        <v>0</v>
      </c>
      <c r="F2866" s="148" t="s">
        <v>37</v>
      </c>
    </row>
    <row r="2867" spans="1:6" ht="15.75">
      <c r="A2867" t="str">
        <f t="shared" si="44"/>
        <v>BulletPACECS</v>
      </c>
      <c r="C2867" s="148" t="s">
        <v>416</v>
      </c>
      <c r="D2867" s="148" t="s">
        <v>69</v>
      </c>
      <c r="E2867" s="148">
        <v>18744.331723040003</v>
      </c>
      <c r="F2867" s="148" t="s">
        <v>37</v>
      </c>
    </row>
    <row r="2868" spans="1:6" ht="15.75">
      <c r="A2868" t="str">
        <f t="shared" si="44"/>
        <v>BulletSolaireECS</v>
      </c>
      <c r="C2868" s="148" t="s">
        <v>416</v>
      </c>
      <c r="D2868" s="148" t="s">
        <v>240</v>
      </c>
      <c r="E2868" s="148">
        <v>57120.000000000007</v>
      </c>
      <c r="F2868" s="148" t="s">
        <v>37</v>
      </c>
    </row>
    <row r="2869" spans="1:6" ht="15.75">
      <c r="A2869" t="str">
        <f t="shared" si="44"/>
        <v>BursinelBoisECS</v>
      </c>
      <c r="C2869" s="148" t="s">
        <v>417</v>
      </c>
      <c r="D2869" s="148" t="s">
        <v>66</v>
      </c>
      <c r="E2869" s="148">
        <v>127143.05882352999</v>
      </c>
      <c r="F2869" s="148" t="s">
        <v>37</v>
      </c>
    </row>
    <row r="2870" spans="1:6" ht="15.75">
      <c r="A2870" t="str">
        <f t="shared" si="44"/>
        <v>BursinelElectricitéECS</v>
      </c>
      <c r="C2870" s="148" t="s">
        <v>417</v>
      </c>
      <c r="D2870" s="148" t="s">
        <v>97</v>
      </c>
      <c r="E2870" s="148">
        <v>140121.95555555998</v>
      </c>
      <c r="F2870" s="148" t="s">
        <v>37</v>
      </c>
    </row>
    <row r="2871" spans="1:6" ht="15.75">
      <c r="A2871" t="str">
        <f t="shared" si="44"/>
        <v>BursinelMazoutECS</v>
      </c>
      <c r="C2871" s="148" t="s">
        <v>417</v>
      </c>
      <c r="D2871" s="148" t="s">
        <v>70</v>
      </c>
      <c r="E2871" s="148">
        <v>513664.94117644994</v>
      </c>
      <c r="F2871" s="148" t="s">
        <v>37</v>
      </c>
    </row>
    <row r="2872" spans="1:6" ht="15.75">
      <c r="A2872" t="str">
        <f t="shared" si="44"/>
        <v>BursinelNon renseignéECS</v>
      </c>
      <c r="C2872" s="148" t="s">
        <v>417</v>
      </c>
      <c r="D2872" s="148" t="s">
        <v>696</v>
      </c>
      <c r="E2872" s="148" t="e">
        <v>#N/A</v>
      </c>
      <c r="F2872" s="148" t="s">
        <v>37</v>
      </c>
    </row>
    <row r="2873" spans="1:6" ht="15.75">
      <c r="A2873" t="str">
        <f t="shared" si="44"/>
        <v>BursinelPACECS</v>
      </c>
      <c r="C2873" s="148" t="s">
        <v>417</v>
      </c>
      <c r="D2873" s="148" t="s">
        <v>69</v>
      </c>
      <c r="E2873" s="148">
        <v>8834.3589743600005</v>
      </c>
      <c r="F2873" s="148" t="s">
        <v>37</v>
      </c>
    </row>
    <row r="2874" spans="1:6" ht="15.75">
      <c r="A2874" t="str">
        <f t="shared" si="44"/>
        <v>BursinelSolaireECS</v>
      </c>
      <c r="C2874" s="148" t="s">
        <v>417</v>
      </c>
      <c r="D2874" s="148" t="s">
        <v>240</v>
      </c>
      <c r="E2874" s="148">
        <v>16139.2</v>
      </c>
      <c r="F2874" s="148" t="s">
        <v>37</v>
      </c>
    </row>
    <row r="2875" spans="1:6" ht="15.75">
      <c r="A2875" t="str">
        <f t="shared" si="44"/>
        <v>BursinsBoisECS</v>
      </c>
      <c r="C2875" s="148" t="s">
        <v>418</v>
      </c>
      <c r="D2875" s="148" t="s">
        <v>66</v>
      </c>
      <c r="E2875" s="148">
        <v>8716.0156862699987</v>
      </c>
      <c r="F2875" s="148" t="s">
        <v>37</v>
      </c>
    </row>
    <row r="2876" spans="1:6" ht="15.75">
      <c r="A2876" t="str">
        <f t="shared" si="44"/>
        <v>BursinsElectricitéECS</v>
      </c>
      <c r="C2876" s="148" t="s">
        <v>418</v>
      </c>
      <c r="D2876" s="148" t="s">
        <v>97</v>
      </c>
      <c r="E2876" s="148">
        <v>219695.77777779999</v>
      </c>
      <c r="F2876" s="148" t="s">
        <v>37</v>
      </c>
    </row>
    <row r="2877" spans="1:6" ht="15.75">
      <c r="A2877" t="str">
        <f t="shared" si="44"/>
        <v>BursinsGazECS</v>
      </c>
      <c r="C2877" s="148" t="s">
        <v>418</v>
      </c>
      <c r="D2877" s="148" t="s">
        <v>239</v>
      </c>
      <c r="E2877" s="148">
        <v>551422.67621488008</v>
      </c>
      <c r="F2877" s="148" t="s">
        <v>37</v>
      </c>
    </row>
    <row r="2878" spans="1:6" ht="15.75">
      <c r="A2878" t="str">
        <f t="shared" si="44"/>
        <v>BursinsMazoutECS</v>
      </c>
      <c r="C2878" s="148" t="s">
        <v>418</v>
      </c>
      <c r="D2878" s="148" t="s">
        <v>70</v>
      </c>
      <c r="E2878" s="148">
        <v>369156.94117647014</v>
      </c>
      <c r="F2878" s="148" t="s">
        <v>37</v>
      </c>
    </row>
    <row r="2879" spans="1:6" ht="15.75">
      <c r="A2879" t="str">
        <f t="shared" si="44"/>
        <v>BursinsNon renseignéECS</v>
      </c>
      <c r="C2879" s="148" t="s">
        <v>418</v>
      </c>
      <c r="D2879" s="148" t="s">
        <v>696</v>
      </c>
      <c r="E2879" s="148" t="e">
        <v>#N/A</v>
      </c>
      <c r="F2879" s="148" t="s">
        <v>37</v>
      </c>
    </row>
    <row r="2880" spans="1:6" ht="15.75">
      <c r="A2880" t="str">
        <f t="shared" si="44"/>
        <v>BursinsPACECS</v>
      </c>
      <c r="C2880" s="148" t="s">
        <v>418</v>
      </c>
      <c r="D2880" s="148" t="s">
        <v>69</v>
      </c>
      <c r="E2880" s="148">
        <v>44134.595069970004</v>
      </c>
      <c r="F2880" s="148" t="s">
        <v>37</v>
      </c>
    </row>
    <row r="2881" spans="1:6" ht="15.75">
      <c r="A2881" t="str">
        <f t="shared" si="44"/>
        <v>BursinsSolaireECS</v>
      </c>
      <c r="C2881" s="148" t="s">
        <v>418</v>
      </c>
      <c r="D2881" s="148" t="s">
        <v>240</v>
      </c>
      <c r="E2881" s="148">
        <v>34540.799999999996</v>
      </c>
      <c r="F2881" s="148" t="s">
        <v>37</v>
      </c>
    </row>
    <row r="2882" spans="1:6" ht="15.75">
      <c r="A2882" t="str">
        <f t="shared" si="44"/>
        <v>BurtignyBoisECS</v>
      </c>
      <c r="C2882" s="148" t="s">
        <v>419</v>
      </c>
      <c r="D2882" s="148" t="s">
        <v>66</v>
      </c>
      <c r="E2882" s="148">
        <v>71504.181960790011</v>
      </c>
      <c r="F2882" s="148" t="s">
        <v>37</v>
      </c>
    </row>
    <row r="2883" spans="1:6" ht="15.75">
      <c r="A2883" t="str">
        <f t="shared" si="44"/>
        <v>BurtignyCADECS</v>
      </c>
      <c r="C2883" s="148" t="s">
        <v>419</v>
      </c>
      <c r="D2883" s="148" t="s">
        <v>242</v>
      </c>
      <c r="E2883" s="148">
        <v>116215.40000000001</v>
      </c>
      <c r="F2883" s="148" t="s">
        <v>37</v>
      </c>
    </row>
    <row r="2884" spans="1:6" ht="15.75">
      <c r="A2884" t="str">
        <f t="shared" si="44"/>
        <v>BurtignyElectricitéECS</v>
      </c>
      <c r="C2884" s="148" t="s">
        <v>419</v>
      </c>
      <c r="D2884" s="148" t="s">
        <v>97</v>
      </c>
      <c r="E2884" s="148">
        <v>143402.00000000998</v>
      </c>
      <c r="F2884" s="148" t="s">
        <v>37</v>
      </c>
    </row>
    <row r="2885" spans="1:6" ht="15.75">
      <c r="A2885" t="str">
        <f t="shared" si="44"/>
        <v>BurtignyGazECS</v>
      </c>
      <c r="C2885" s="148" t="s">
        <v>419</v>
      </c>
      <c r="D2885" s="148" t="s">
        <v>239</v>
      </c>
      <c r="E2885" s="148">
        <v>11303.406649600001</v>
      </c>
      <c r="F2885" s="148" t="s">
        <v>37</v>
      </c>
    </row>
    <row r="2886" spans="1:6" ht="15.75">
      <c r="A2886" t="str">
        <f t="shared" si="44"/>
        <v>BurtignyMazoutECS</v>
      </c>
      <c r="C2886" s="148" t="s">
        <v>419</v>
      </c>
      <c r="D2886" s="148" t="s">
        <v>70</v>
      </c>
      <c r="E2886" s="148">
        <v>312840.70588234998</v>
      </c>
      <c r="F2886" s="148" t="s">
        <v>37</v>
      </c>
    </row>
    <row r="2887" spans="1:6" ht="15.75">
      <c r="A2887" t="str">
        <f t="shared" si="44"/>
        <v>BurtignyNon renseignéECS</v>
      </c>
      <c r="C2887" s="148" t="s">
        <v>419</v>
      </c>
      <c r="D2887" s="148" t="s">
        <v>696</v>
      </c>
      <c r="E2887" s="148">
        <v>0</v>
      </c>
      <c r="F2887" s="148" t="s">
        <v>37</v>
      </c>
    </row>
    <row r="2888" spans="1:6" ht="15.75">
      <c r="A2888" t="str">
        <f t="shared" si="44"/>
        <v>BurtignyPACECS</v>
      </c>
      <c r="C2888" s="148" t="s">
        <v>419</v>
      </c>
      <c r="D2888" s="148" t="s">
        <v>69</v>
      </c>
      <c r="E2888" s="148">
        <v>6449.1772575300001</v>
      </c>
      <c r="F2888" s="148" t="s">
        <v>37</v>
      </c>
    </row>
    <row r="2889" spans="1:6" ht="15.75">
      <c r="A2889" t="str">
        <f t="shared" si="44"/>
        <v>BurtignyAutre agent énergétiqueECS</v>
      </c>
      <c r="C2889" s="148" t="s">
        <v>419</v>
      </c>
      <c r="D2889" s="148" t="s">
        <v>245</v>
      </c>
      <c r="E2889" s="148">
        <v>4256</v>
      </c>
      <c r="F2889" s="148" t="s">
        <v>37</v>
      </c>
    </row>
    <row r="2890" spans="1:6" ht="15.75">
      <c r="A2890" t="str">
        <f t="shared" si="44"/>
        <v>BurtignySolaireECS</v>
      </c>
      <c r="C2890" s="148" t="s">
        <v>419</v>
      </c>
      <c r="D2890" s="148" t="s">
        <v>240</v>
      </c>
      <c r="E2890" s="148">
        <v>7985.6</v>
      </c>
      <c r="F2890" s="148" t="s">
        <v>37</v>
      </c>
    </row>
    <row r="2891" spans="1:6" ht="15.75">
      <c r="A2891" t="str">
        <f t="shared" ref="A2891:A2954" si="45">_xlfn.CONCAT(C2891,D2891,F2891)</f>
        <v>BussignyAutre agent énergétiqueECS</v>
      </c>
      <c r="C2891" s="148" t="s">
        <v>420</v>
      </c>
      <c r="D2891" s="148" t="s">
        <v>245</v>
      </c>
      <c r="E2891" s="148">
        <v>3228.2352941199997</v>
      </c>
      <c r="F2891" s="148" t="s">
        <v>37</v>
      </c>
    </row>
    <row r="2892" spans="1:6" ht="15.75">
      <c r="A2892" t="str">
        <f t="shared" si="45"/>
        <v>BussignyBoisECS</v>
      </c>
      <c r="C2892" s="148" t="s">
        <v>420</v>
      </c>
      <c r="D2892" s="148" t="s">
        <v>66</v>
      </c>
      <c r="E2892" s="148">
        <v>466142.68235294003</v>
      </c>
      <c r="F2892" s="148" t="s">
        <v>37</v>
      </c>
    </row>
    <row r="2893" spans="1:6" ht="15.75">
      <c r="A2893" t="str">
        <f t="shared" si="45"/>
        <v>BussignyCADECS</v>
      </c>
      <c r="C2893" s="148" t="s">
        <v>420</v>
      </c>
      <c r="D2893" s="148" t="s">
        <v>242</v>
      </c>
      <c r="E2893" s="148">
        <v>168281.2</v>
      </c>
      <c r="F2893" s="148" t="s">
        <v>37</v>
      </c>
    </row>
    <row r="2894" spans="1:6" ht="15.75">
      <c r="A2894" t="str">
        <f t="shared" si="45"/>
        <v>BussignyElectricitéECS</v>
      </c>
      <c r="C2894" s="148" t="s">
        <v>420</v>
      </c>
      <c r="D2894" s="148" t="s">
        <v>97</v>
      </c>
      <c r="E2894" s="148">
        <v>1030300.4444444795</v>
      </c>
      <c r="F2894" s="148" t="s">
        <v>37</v>
      </c>
    </row>
    <row r="2895" spans="1:6" ht="15.75">
      <c r="A2895" t="str">
        <f t="shared" si="45"/>
        <v>BussignyGazECS</v>
      </c>
      <c r="C2895" s="148" t="s">
        <v>420</v>
      </c>
      <c r="D2895" s="148" t="s">
        <v>239</v>
      </c>
      <c r="E2895" s="148">
        <v>5233567.1508951597</v>
      </c>
      <c r="F2895" s="148" t="s">
        <v>37</v>
      </c>
    </row>
    <row r="2896" spans="1:6" ht="15.75">
      <c r="A2896" t="str">
        <f t="shared" si="45"/>
        <v>BussignyMazoutECS</v>
      </c>
      <c r="C2896" s="148" t="s">
        <v>420</v>
      </c>
      <c r="D2896" s="148" t="s">
        <v>70</v>
      </c>
      <c r="E2896" s="148">
        <v>3241306.3529411592</v>
      </c>
      <c r="F2896" s="148" t="s">
        <v>37</v>
      </c>
    </row>
    <row r="2897" spans="1:6" ht="15.75">
      <c r="A2897" t="str">
        <f t="shared" si="45"/>
        <v>BussignyNon renseignéECS</v>
      </c>
      <c r="C2897" s="148" t="s">
        <v>420</v>
      </c>
      <c r="D2897" s="148" t="s">
        <v>696</v>
      </c>
      <c r="E2897" s="148">
        <v>0</v>
      </c>
      <c r="F2897" s="148" t="s">
        <v>37</v>
      </c>
    </row>
    <row r="2898" spans="1:6" ht="15.75">
      <c r="A2898" t="str">
        <f t="shared" si="45"/>
        <v>BussignyPACECS</v>
      </c>
      <c r="C2898" s="148" t="s">
        <v>420</v>
      </c>
      <c r="D2898" s="148" t="s">
        <v>69</v>
      </c>
      <c r="E2898" s="148">
        <v>68494.908955760009</v>
      </c>
      <c r="F2898" s="148" t="s">
        <v>37</v>
      </c>
    </row>
    <row r="2899" spans="1:6" ht="15.75">
      <c r="A2899" t="str">
        <f t="shared" si="45"/>
        <v>BussignySolaireECS</v>
      </c>
      <c r="C2899" s="148" t="s">
        <v>420</v>
      </c>
      <c r="D2899" s="148" t="s">
        <v>240</v>
      </c>
      <c r="E2899" s="148">
        <v>742489.94888888998</v>
      </c>
      <c r="F2899" s="148" t="s">
        <v>37</v>
      </c>
    </row>
    <row r="2900" spans="1:6" ht="15.75">
      <c r="A2900" t="str">
        <f t="shared" si="45"/>
        <v>Bussy-ChardonneyBoisECS</v>
      </c>
      <c r="C2900" s="148" t="s">
        <v>421</v>
      </c>
      <c r="D2900" s="148" t="s">
        <v>66</v>
      </c>
      <c r="E2900" s="148" t="e">
        <v>#N/A</v>
      </c>
      <c r="F2900" s="148" t="s">
        <v>37</v>
      </c>
    </row>
    <row r="2901" spans="1:6" ht="15.75">
      <c r="A2901" t="str">
        <f t="shared" si="45"/>
        <v>Bussy-ChardonneyElectricitéECS</v>
      </c>
      <c r="C2901" s="148" t="s">
        <v>421</v>
      </c>
      <c r="D2901" s="148" t="s">
        <v>97</v>
      </c>
      <c r="E2901" s="148" t="e">
        <v>#N/A</v>
      </c>
      <c r="F2901" s="148" t="s">
        <v>37</v>
      </c>
    </row>
    <row r="2902" spans="1:6" ht="15.75">
      <c r="A2902" t="str">
        <f t="shared" si="45"/>
        <v>Bussy-ChardonneyGazECS</v>
      </c>
      <c r="C2902" s="148" t="s">
        <v>421</v>
      </c>
      <c r="D2902" s="148" t="s">
        <v>239</v>
      </c>
      <c r="E2902" s="148" t="e">
        <v>#N/A</v>
      </c>
      <c r="F2902" s="148" t="s">
        <v>37</v>
      </c>
    </row>
    <row r="2903" spans="1:6" ht="15.75">
      <c r="A2903" t="str">
        <f t="shared" si="45"/>
        <v>Bussy-ChardonneyMazoutECS</v>
      </c>
      <c r="C2903" s="148" t="s">
        <v>421</v>
      </c>
      <c r="D2903" s="148" t="s">
        <v>70</v>
      </c>
      <c r="E2903" s="148" t="e">
        <v>#N/A</v>
      </c>
      <c r="F2903" s="148" t="s">
        <v>37</v>
      </c>
    </row>
    <row r="2904" spans="1:6" ht="15.75">
      <c r="A2904" t="str">
        <f t="shared" si="45"/>
        <v>Bussy-ChardonneyNon renseignéECS</v>
      </c>
      <c r="C2904" s="148" t="s">
        <v>421</v>
      </c>
      <c r="D2904" s="148" t="s">
        <v>696</v>
      </c>
      <c r="E2904" s="148" t="e">
        <v>#N/A</v>
      </c>
      <c r="F2904" s="148" t="s">
        <v>37</v>
      </c>
    </row>
    <row r="2905" spans="1:6" ht="15.75">
      <c r="A2905" t="str">
        <f t="shared" si="45"/>
        <v>Bussy-ChardonneyPACECS</v>
      </c>
      <c r="C2905" s="148" t="s">
        <v>421</v>
      </c>
      <c r="D2905" s="148" t="s">
        <v>69</v>
      </c>
      <c r="E2905" s="148" t="e">
        <v>#N/A</v>
      </c>
      <c r="F2905" s="148" t="s">
        <v>37</v>
      </c>
    </row>
    <row r="2906" spans="1:6" ht="15.75">
      <c r="A2906" t="str">
        <f t="shared" si="45"/>
        <v>Bussy-ChardonneySolaireECS</v>
      </c>
      <c r="C2906" s="148" t="s">
        <v>421</v>
      </c>
      <c r="D2906" s="148" t="s">
        <v>240</v>
      </c>
      <c r="E2906" s="148" t="e">
        <v>#N/A</v>
      </c>
      <c r="F2906" s="148" t="s">
        <v>37</v>
      </c>
    </row>
    <row r="2907" spans="1:6" ht="15.75">
      <c r="A2907" t="str">
        <f t="shared" si="45"/>
        <v>Bussy-sur-MoudonAutre agent énergétiqueECS</v>
      </c>
      <c r="C2907" s="148" t="s">
        <v>663</v>
      </c>
      <c r="D2907" s="148" t="s">
        <v>245</v>
      </c>
      <c r="E2907" s="148" t="e">
        <v>#N/A</v>
      </c>
      <c r="F2907" s="148" t="s">
        <v>37</v>
      </c>
    </row>
    <row r="2908" spans="1:6" ht="15.75">
      <c r="A2908" t="str">
        <f t="shared" si="45"/>
        <v>Bussy-sur-MoudonBoisECS</v>
      </c>
      <c r="C2908" s="148" t="s">
        <v>663</v>
      </c>
      <c r="D2908" s="148" t="s">
        <v>66</v>
      </c>
      <c r="E2908" s="148">
        <v>37111.200000000004</v>
      </c>
      <c r="F2908" s="148" t="s">
        <v>37</v>
      </c>
    </row>
    <row r="2909" spans="1:6" ht="15.75">
      <c r="A2909" t="str">
        <f t="shared" si="45"/>
        <v>Bussy-sur-MoudonElectricitéECS</v>
      </c>
      <c r="C2909" s="148" t="s">
        <v>663</v>
      </c>
      <c r="D2909" s="148" t="s">
        <v>97</v>
      </c>
      <c r="E2909" s="148">
        <v>165887.55555557</v>
      </c>
      <c r="F2909" s="148" t="s">
        <v>37</v>
      </c>
    </row>
    <row r="2910" spans="1:6" ht="15.75">
      <c r="A2910" t="str">
        <f t="shared" si="45"/>
        <v>Bussy-sur-MoudonGazECS</v>
      </c>
      <c r="C2910" s="148" t="s">
        <v>663</v>
      </c>
      <c r="D2910" s="148" t="s">
        <v>239</v>
      </c>
      <c r="E2910" s="148">
        <v>1023.82608696</v>
      </c>
      <c r="F2910" s="148" t="s">
        <v>37</v>
      </c>
    </row>
    <row r="2911" spans="1:6" ht="15.75">
      <c r="A2911" t="str">
        <f t="shared" si="45"/>
        <v>Bussy-sur-MoudonMazoutECS</v>
      </c>
      <c r="C2911" s="148" t="s">
        <v>663</v>
      </c>
      <c r="D2911" s="148" t="s">
        <v>70</v>
      </c>
      <c r="E2911" s="148">
        <v>301288.72941176995</v>
      </c>
      <c r="F2911" s="148" t="s">
        <v>37</v>
      </c>
    </row>
    <row r="2912" spans="1:6" ht="15.75">
      <c r="A2912" t="str">
        <f t="shared" si="45"/>
        <v>Bussy-sur-MoudonNon renseignéECS</v>
      </c>
      <c r="C2912" s="148" t="s">
        <v>663</v>
      </c>
      <c r="D2912" s="148" t="s">
        <v>696</v>
      </c>
      <c r="E2912" s="148">
        <v>0</v>
      </c>
      <c r="F2912" s="148" t="s">
        <v>37</v>
      </c>
    </row>
    <row r="2913" spans="1:6" ht="15.75">
      <c r="A2913" t="str">
        <f t="shared" si="45"/>
        <v>Bussy-sur-MoudonPACECS</v>
      </c>
      <c r="C2913" s="148" t="s">
        <v>663</v>
      </c>
      <c r="D2913" s="148" t="s">
        <v>69</v>
      </c>
      <c r="E2913" s="148">
        <v>4984.3953920399999</v>
      </c>
      <c r="F2913" s="148" t="s">
        <v>37</v>
      </c>
    </row>
    <row r="2914" spans="1:6" ht="15.75">
      <c r="A2914" t="str">
        <f t="shared" si="45"/>
        <v>Bussy-sur-MoudonSolaireECS</v>
      </c>
      <c r="C2914" s="148" t="s">
        <v>663</v>
      </c>
      <c r="D2914" s="148" t="s">
        <v>240</v>
      </c>
      <c r="E2914" s="148">
        <v>16515.8</v>
      </c>
      <c r="F2914" s="148" t="s">
        <v>37</v>
      </c>
    </row>
    <row r="2915" spans="1:6" ht="15.75">
      <c r="A2915" t="str">
        <f t="shared" si="45"/>
        <v>ChamblonBoisECS</v>
      </c>
      <c r="C2915" s="148" t="s">
        <v>422</v>
      </c>
      <c r="D2915" s="148" t="s">
        <v>66</v>
      </c>
      <c r="E2915" s="148">
        <v>5080.8470588199998</v>
      </c>
      <c r="F2915" s="148" t="s">
        <v>37</v>
      </c>
    </row>
    <row r="2916" spans="1:6" ht="15.75">
      <c r="A2916" t="str">
        <f t="shared" si="45"/>
        <v>ChamblonCADECS</v>
      </c>
      <c r="C2916" s="148" t="s">
        <v>422</v>
      </c>
      <c r="D2916" s="148" t="s">
        <v>242</v>
      </c>
      <c r="E2916" s="148">
        <v>7123.2</v>
      </c>
      <c r="F2916" s="148" t="s">
        <v>37</v>
      </c>
    </row>
    <row r="2917" spans="1:6" ht="15.75">
      <c r="A2917" t="str">
        <f t="shared" si="45"/>
        <v>ChamblonElectricitéECS</v>
      </c>
      <c r="C2917" s="148" t="s">
        <v>422</v>
      </c>
      <c r="D2917" s="148" t="s">
        <v>97</v>
      </c>
      <c r="E2917" s="148">
        <v>188701.33333334001</v>
      </c>
      <c r="F2917" s="148" t="s">
        <v>37</v>
      </c>
    </row>
    <row r="2918" spans="1:6" ht="15.75">
      <c r="A2918" t="str">
        <f t="shared" si="45"/>
        <v>ChamblonGazECS</v>
      </c>
      <c r="C2918" s="148" t="s">
        <v>422</v>
      </c>
      <c r="D2918" s="148" t="s">
        <v>239</v>
      </c>
      <c r="E2918" s="148">
        <v>634774.75191812986</v>
      </c>
      <c r="F2918" s="148" t="s">
        <v>37</v>
      </c>
    </row>
    <row r="2919" spans="1:6" ht="15.75">
      <c r="A2919" t="str">
        <f t="shared" si="45"/>
        <v>ChamblonMazoutECS</v>
      </c>
      <c r="C2919" s="148" t="s">
        <v>422</v>
      </c>
      <c r="D2919" s="148" t="s">
        <v>70</v>
      </c>
      <c r="E2919" s="148">
        <v>84686.82352943001</v>
      </c>
      <c r="F2919" s="148" t="s">
        <v>37</v>
      </c>
    </row>
    <row r="2920" spans="1:6" ht="15.75">
      <c r="A2920" t="str">
        <f t="shared" si="45"/>
        <v>ChamblonNon renseignéECS</v>
      </c>
      <c r="C2920" s="148" t="s">
        <v>422</v>
      </c>
      <c r="D2920" s="148" t="s">
        <v>696</v>
      </c>
      <c r="E2920" s="148">
        <v>0</v>
      </c>
      <c r="F2920" s="148" t="s">
        <v>37</v>
      </c>
    </row>
    <row r="2921" spans="1:6" ht="15.75">
      <c r="A2921" t="str">
        <f t="shared" si="45"/>
        <v>ChamblonPACECS</v>
      </c>
      <c r="C2921" s="148" t="s">
        <v>422</v>
      </c>
      <c r="D2921" s="148" t="s">
        <v>69</v>
      </c>
      <c r="E2921" s="148">
        <v>2929.23076924</v>
      </c>
      <c r="F2921" s="148" t="s">
        <v>37</v>
      </c>
    </row>
    <row r="2922" spans="1:6" ht="15.75">
      <c r="A2922" t="str">
        <f t="shared" si="45"/>
        <v>ChamblonSolaireECS</v>
      </c>
      <c r="C2922" s="148" t="s">
        <v>422</v>
      </c>
      <c r="D2922" s="148" t="s">
        <v>240</v>
      </c>
      <c r="E2922" s="148">
        <v>44024.4</v>
      </c>
      <c r="F2922" s="148" t="s">
        <v>37</v>
      </c>
    </row>
    <row r="2923" spans="1:6" ht="15.75">
      <c r="A2923" t="str">
        <f t="shared" si="45"/>
        <v>ChampagneAutre agent énergétiqueECS</v>
      </c>
      <c r="C2923" s="148" t="s">
        <v>423</v>
      </c>
      <c r="D2923" s="148" t="s">
        <v>245</v>
      </c>
      <c r="E2923" s="148">
        <v>17722.352941180001</v>
      </c>
      <c r="F2923" s="148" t="s">
        <v>37</v>
      </c>
    </row>
    <row r="2924" spans="1:6" ht="15.75">
      <c r="A2924" t="str">
        <f t="shared" si="45"/>
        <v>ChampagneBoisECS</v>
      </c>
      <c r="C2924" s="148" t="s">
        <v>423</v>
      </c>
      <c r="D2924" s="148" t="s">
        <v>66</v>
      </c>
      <c r="E2924" s="148">
        <v>156894.32156863998</v>
      </c>
      <c r="F2924" s="148" t="s">
        <v>37</v>
      </c>
    </row>
    <row r="2925" spans="1:6" ht="15.75">
      <c r="A2925" t="str">
        <f t="shared" si="45"/>
        <v>ChampagneCADECS</v>
      </c>
      <c r="C2925" s="148" t="s">
        <v>423</v>
      </c>
      <c r="D2925" s="148" t="s">
        <v>242</v>
      </c>
      <c r="E2925" s="148">
        <v>317189.59999999998</v>
      </c>
      <c r="F2925" s="148" t="s">
        <v>37</v>
      </c>
    </row>
    <row r="2926" spans="1:6" ht="15.75">
      <c r="A2926" t="str">
        <f t="shared" si="45"/>
        <v>ChampagneElectricitéECS</v>
      </c>
      <c r="C2926" s="148" t="s">
        <v>423</v>
      </c>
      <c r="D2926" s="148" t="s">
        <v>97</v>
      </c>
      <c r="E2926" s="148">
        <v>300327.37777776009</v>
      </c>
      <c r="F2926" s="148" t="s">
        <v>37</v>
      </c>
    </row>
    <row r="2927" spans="1:6" ht="15.75">
      <c r="A2927" t="str">
        <f t="shared" si="45"/>
        <v>ChampagneGazECS</v>
      </c>
      <c r="C2927" s="148" t="s">
        <v>423</v>
      </c>
      <c r="D2927" s="148" t="s">
        <v>239</v>
      </c>
      <c r="E2927" s="148">
        <v>25740.038363169999</v>
      </c>
      <c r="F2927" s="148" t="s">
        <v>37</v>
      </c>
    </row>
    <row r="2928" spans="1:6" ht="15.75">
      <c r="A2928" t="str">
        <f t="shared" si="45"/>
        <v>ChampagneMazoutECS</v>
      </c>
      <c r="C2928" s="148" t="s">
        <v>423</v>
      </c>
      <c r="D2928" s="148" t="s">
        <v>70</v>
      </c>
      <c r="E2928" s="148">
        <v>568202.35294118</v>
      </c>
      <c r="F2928" s="148" t="s">
        <v>37</v>
      </c>
    </row>
    <row r="2929" spans="1:6" ht="15.75">
      <c r="A2929" t="str">
        <f t="shared" si="45"/>
        <v>ChampagneNon renseignéECS</v>
      </c>
      <c r="C2929" s="148" t="s">
        <v>423</v>
      </c>
      <c r="D2929" s="148" t="s">
        <v>696</v>
      </c>
      <c r="E2929" s="148">
        <v>0</v>
      </c>
      <c r="F2929" s="148" t="s">
        <v>37</v>
      </c>
    </row>
    <row r="2930" spans="1:6" ht="15.75">
      <c r="A2930" t="str">
        <f t="shared" si="45"/>
        <v>ChampagnePACECS</v>
      </c>
      <c r="C2930" s="148" t="s">
        <v>423</v>
      </c>
      <c r="D2930" s="148" t="s">
        <v>69</v>
      </c>
      <c r="E2930" s="148">
        <v>22549.25356126</v>
      </c>
      <c r="F2930" s="148" t="s">
        <v>37</v>
      </c>
    </row>
    <row r="2931" spans="1:6" ht="15.75">
      <c r="A2931" t="str">
        <f t="shared" si="45"/>
        <v>ChampagneSolaireECS</v>
      </c>
      <c r="C2931" s="148" t="s">
        <v>423</v>
      </c>
      <c r="D2931" s="148" t="s">
        <v>240</v>
      </c>
      <c r="E2931" s="148">
        <v>160018.6</v>
      </c>
      <c r="F2931" s="148" t="s">
        <v>37</v>
      </c>
    </row>
    <row r="2932" spans="1:6" ht="15.75">
      <c r="A2932" t="str">
        <f t="shared" si="45"/>
        <v>ChamptaurozBoisECS</v>
      </c>
      <c r="C2932" s="148" t="s">
        <v>424</v>
      </c>
      <c r="D2932" s="148" t="s">
        <v>66</v>
      </c>
      <c r="E2932" s="148">
        <v>49477.647058809998</v>
      </c>
      <c r="F2932" s="148" t="s">
        <v>37</v>
      </c>
    </row>
    <row r="2933" spans="1:6" ht="15.75">
      <c r="A2933" t="str">
        <f t="shared" si="45"/>
        <v>ChamptaurozElectricitéECS</v>
      </c>
      <c r="C2933" s="148" t="s">
        <v>424</v>
      </c>
      <c r="D2933" s="148" t="s">
        <v>97</v>
      </c>
      <c r="E2933" s="148">
        <v>55100.888888889996</v>
      </c>
      <c r="F2933" s="148" t="s">
        <v>37</v>
      </c>
    </row>
    <row r="2934" spans="1:6" ht="15.75">
      <c r="A2934" t="str">
        <f t="shared" si="45"/>
        <v>ChamptaurozGazECS</v>
      </c>
      <c r="C2934" s="148" t="s">
        <v>424</v>
      </c>
      <c r="D2934" s="148" t="s">
        <v>239</v>
      </c>
      <c r="E2934" s="148">
        <v>17422.588235290001</v>
      </c>
      <c r="F2934" s="148" t="s">
        <v>37</v>
      </c>
    </row>
    <row r="2935" spans="1:6" ht="15.75">
      <c r="A2935" t="str">
        <f t="shared" si="45"/>
        <v>ChamptaurozMazoutECS</v>
      </c>
      <c r="C2935" s="148" t="s">
        <v>424</v>
      </c>
      <c r="D2935" s="148" t="s">
        <v>70</v>
      </c>
      <c r="E2935" s="148">
        <v>203253.64705882999</v>
      </c>
      <c r="F2935" s="148" t="s">
        <v>37</v>
      </c>
    </row>
    <row r="2936" spans="1:6" ht="15.75">
      <c r="A2936" t="str">
        <f t="shared" si="45"/>
        <v>ChamptaurozNon renseignéECS</v>
      </c>
      <c r="C2936" s="148" t="s">
        <v>424</v>
      </c>
      <c r="D2936" s="148" t="s">
        <v>696</v>
      </c>
      <c r="E2936" s="148">
        <v>0</v>
      </c>
      <c r="F2936" s="148" t="s">
        <v>37</v>
      </c>
    </row>
    <row r="2937" spans="1:6" ht="15.75">
      <c r="A2937" t="str">
        <f t="shared" si="45"/>
        <v>ChamptaurozPACECS</v>
      </c>
      <c r="C2937" s="148" t="s">
        <v>424</v>
      </c>
      <c r="D2937" s="148" t="s">
        <v>69</v>
      </c>
      <c r="E2937" s="148">
        <v>4056.23076924</v>
      </c>
      <c r="F2937" s="148" t="s">
        <v>37</v>
      </c>
    </row>
    <row r="2938" spans="1:6" ht="15.75">
      <c r="A2938" t="str">
        <f t="shared" si="45"/>
        <v>ChamptaurozSolaireECS</v>
      </c>
      <c r="C2938" s="148" t="s">
        <v>424</v>
      </c>
      <c r="D2938" s="148" t="s">
        <v>240</v>
      </c>
      <c r="E2938" s="148">
        <v>10510.08</v>
      </c>
      <c r="F2938" s="148" t="s">
        <v>37</v>
      </c>
    </row>
    <row r="2939" spans="1:6" ht="15.75">
      <c r="A2939" t="str">
        <f t="shared" si="45"/>
        <v>ChampventBoisECS</v>
      </c>
      <c r="C2939" s="148" t="s">
        <v>425</v>
      </c>
      <c r="D2939" s="148" t="s">
        <v>66</v>
      </c>
      <c r="E2939" s="148">
        <v>166878.69333333001</v>
      </c>
      <c r="F2939" s="148" t="s">
        <v>37</v>
      </c>
    </row>
    <row r="2940" spans="1:6" ht="15.75">
      <c r="A2940" t="str">
        <f t="shared" si="45"/>
        <v>ChampventCADECS</v>
      </c>
      <c r="C2940" s="148" t="s">
        <v>425</v>
      </c>
      <c r="D2940" s="148" t="s">
        <v>242</v>
      </c>
      <c r="E2940" s="148">
        <v>37249.800000000003</v>
      </c>
      <c r="F2940" s="148" t="s">
        <v>37</v>
      </c>
    </row>
    <row r="2941" spans="1:6" ht="15.75">
      <c r="A2941" t="str">
        <f t="shared" si="45"/>
        <v>ChampventElectricitéECS</v>
      </c>
      <c r="C2941" s="148" t="s">
        <v>425</v>
      </c>
      <c r="D2941" s="148" t="s">
        <v>97</v>
      </c>
      <c r="E2941" s="148">
        <v>135750.22222222999</v>
      </c>
      <c r="F2941" s="148" t="s">
        <v>37</v>
      </c>
    </row>
    <row r="2942" spans="1:6" ht="15.75">
      <c r="A2942" t="str">
        <f t="shared" si="45"/>
        <v>ChampventGazECS</v>
      </c>
      <c r="C2942" s="148" t="s">
        <v>425</v>
      </c>
      <c r="D2942" s="148" t="s">
        <v>239</v>
      </c>
      <c r="E2942" s="148">
        <v>336344.98721230996</v>
      </c>
      <c r="F2942" s="148" t="s">
        <v>37</v>
      </c>
    </row>
    <row r="2943" spans="1:6" ht="15.75">
      <c r="A2943" t="str">
        <f t="shared" si="45"/>
        <v>ChampventMazoutECS</v>
      </c>
      <c r="C2943" s="148" t="s">
        <v>425</v>
      </c>
      <c r="D2943" s="148" t="s">
        <v>70</v>
      </c>
      <c r="E2943" s="148">
        <v>327371.71764703002</v>
      </c>
      <c r="F2943" s="148" t="s">
        <v>37</v>
      </c>
    </row>
    <row r="2944" spans="1:6" ht="15.75">
      <c r="A2944" t="str">
        <f t="shared" si="45"/>
        <v>ChampventNon renseignéECS</v>
      </c>
      <c r="C2944" s="148" t="s">
        <v>425</v>
      </c>
      <c r="D2944" s="148" t="s">
        <v>696</v>
      </c>
      <c r="E2944" s="148">
        <v>0</v>
      </c>
      <c r="F2944" s="148" t="s">
        <v>37</v>
      </c>
    </row>
    <row r="2945" spans="1:6" ht="15.75">
      <c r="A2945" t="str">
        <f t="shared" si="45"/>
        <v>ChampventPACECS</v>
      </c>
      <c r="C2945" s="148" t="s">
        <v>425</v>
      </c>
      <c r="D2945" s="148" t="s">
        <v>69</v>
      </c>
      <c r="E2945" s="148">
        <v>15774.76923077</v>
      </c>
      <c r="F2945" s="148" t="s">
        <v>37</v>
      </c>
    </row>
    <row r="2946" spans="1:6" ht="15.75">
      <c r="A2946" t="str">
        <f t="shared" si="45"/>
        <v>ChampventSolaireECS</v>
      </c>
      <c r="C2946" s="148" t="s">
        <v>425</v>
      </c>
      <c r="D2946" s="148" t="s">
        <v>240</v>
      </c>
      <c r="E2946" s="148">
        <v>108415.48260869998</v>
      </c>
      <c r="F2946" s="148" t="s">
        <v>37</v>
      </c>
    </row>
    <row r="2947" spans="1:6" ht="15.75">
      <c r="A2947" t="str">
        <f t="shared" si="45"/>
        <v>ChardonneBoisECS</v>
      </c>
      <c r="C2947" s="148" t="s">
        <v>426</v>
      </c>
      <c r="D2947" s="148" t="s">
        <v>66</v>
      </c>
      <c r="E2947" s="148">
        <v>639372.63215687999</v>
      </c>
      <c r="F2947" s="148" t="s">
        <v>37</v>
      </c>
    </row>
    <row r="2948" spans="1:6" ht="15.75">
      <c r="A2948" t="str">
        <f t="shared" si="45"/>
        <v>ChardonneElectricitéECS</v>
      </c>
      <c r="C2948" s="148" t="s">
        <v>426</v>
      </c>
      <c r="D2948" s="148" t="s">
        <v>97</v>
      </c>
      <c r="E2948" s="148">
        <v>558220.44444450003</v>
      </c>
      <c r="F2948" s="148" t="s">
        <v>37</v>
      </c>
    </row>
    <row r="2949" spans="1:6" ht="15.75">
      <c r="A2949" t="str">
        <f t="shared" si="45"/>
        <v>ChardonneGazECS</v>
      </c>
      <c r="C2949" s="148" t="s">
        <v>426</v>
      </c>
      <c r="D2949" s="148" t="s">
        <v>239</v>
      </c>
      <c r="E2949" s="148">
        <v>2395528.2915601693</v>
      </c>
      <c r="F2949" s="148" t="s">
        <v>37</v>
      </c>
    </row>
    <row r="2950" spans="1:6" ht="15.75">
      <c r="A2950" t="str">
        <f t="shared" si="45"/>
        <v>ChardonneMazoutECS</v>
      </c>
      <c r="C2950" s="148" t="s">
        <v>426</v>
      </c>
      <c r="D2950" s="148" t="s">
        <v>70</v>
      </c>
      <c r="E2950" s="148">
        <v>1674540.0000000503</v>
      </c>
      <c r="F2950" s="148" t="s">
        <v>37</v>
      </c>
    </row>
    <row r="2951" spans="1:6" ht="15.75">
      <c r="A2951" t="str">
        <f t="shared" si="45"/>
        <v>ChardonneNon renseignéECS</v>
      </c>
      <c r="C2951" s="148" t="s">
        <v>426</v>
      </c>
      <c r="D2951" s="148" t="s">
        <v>696</v>
      </c>
      <c r="E2951" s="148">
        <v>0</v>
      </c>
      <c r="F2951" s="148" t="s">
        <v>37</v>
      </c>
    </row>
    <row r="2952" spans="1:6" ht="15.75">
      <c r="A2952" t="str">
        <f t="shared" si="45"/>
        <v>ChardonnePACECS</v>
      </c>
      <c r="C2952" s="148" t="s">
        <v>426</v>
      </c>
      <c r="D2952" s="148" t="s">
        <v>69</v>
      </c>
      <c r="E2952" s="148">
        <v>67225.678805920004</v>
      </c>
      <c r="F2952" s="148" t="s">
        <v>37</v>
      </c>
    </row>
    <row r="2953" spans="1:6" ht="15.75">
      <c r="A2953" t="str">
        <f t="shared" si="45"/>
        <v>ChardonneSolaireECS</v>
      </c>
      <c r="C2953" s="148" t="s">
        <v>426</v>
      </c>
      <c r="D2953" s="148" t="s">
        <v>240</v>
      </c>
      <c r="E2953" s="148">
        <v>421839.60000000009</v>
      </c>
      <c r="F2953" s="148" t="s">
        <v>37</v>
      </c>
    </row>
    <row r="2954" spans="1:6" ht="15.75">
      <c r="A2954" t="str">
        <f t="shared" si="45"/>
        <v>ChardonneAutre agent énergétiqueECS</v>
      </c>
      <c r="C2954" s="148" t="s">
        <v>426</v>
      </c>
      <c r="D2954" s="148" t="s">
        <v>245</v>
      </c>
      <c r="E2954" s="148">
        <v>3768.4705882399999</v>
      </c>
      <c r="F2954" s="148" t="s">
        <v>37</v>
      </c>
    </row>
    <row r="2955" spans="1:6" ht="15.75">
      <c r="A2955" t="str">
        <f t="shared" ref="A2955:A3018" si="46">_xlfn.CONCAT(C2955,D2955,F2955)</f>
        <v>Château-d'OexBoisECS</v>
      </c>
      <c r="C2955" s="148" t="s">
        <v>681</v>
      </c>
      <c r="D2955" s="148" t="s">
        <v>66</v>
      </c>
      <c r="E2955" s="148">
        <v>1202884.661176499</v>
      </c>
      <c r="F2955" s="148" t="s">
        <v>37</v>
      </c>
    </row>
    <row r="2956" spans="1:6" ht="15.75">
      <c r="A2956" t="str">
        <f t="shared" si="46"/>
        <v>Château-d'OexCADECS</v>
      </c>
      <c r="C2956" s="148" t="s">
        <v>681</v>
      </c>
      <c r="D2956" s="148" t="s">
        <v>242</v>
      </c>
      <c r="E2956" s="148">
        <v>39559.799999999996</v>
      </c>
      <c r="F2956" s="148" t="s">
        <v>37</v>
      </c>
    </row>
    <row r="2957" spans="1:6" ht="15.75">
      <c r="A2957" t="str">
        <f t="shared" si="46"/>
        <v>Château-d'OexElectricitéECS</v>
      </c>
      <c r="C2957" s="148" t="s">
        <v>681</v>
      </c>
      <c r="D2957" s="148" t="s">
        <v>97</v>
      </c>
      <c r="E2957" s="148">
        <v>2861073.351111141</v>
      </c>
      <c r="F2957" s="148" t="s">
        <v>37</v>
      </c>
    </row>
    <row r="2958" spans="1:6" ht="15.75">
      <c r="A2958" t="str">
        <f t="shared" si="46"/>
        <v>Château-d'OexGazECS</v>
      </c>
      <c r="C2958" s="148" t="s">
        <v>681</v>
      </c>
      <c r="D2958" s="148" t="s">
        <v>239</v>
      </c>
      <c r="E2958" s="148">
        <v>53458.258823520002</v>
      </c>
      <c r="F2958" s="148" t="s">
        <v>37</v>
      </c>
    </row>
    <row r="2959" spans="1:6" ht="15.75">
      <c r="A2959" t="str">
        <f t="shared" si="46"/>
        <v>Château-d'OexMazoutECS</v>
      </c>
      <c r="C2959" s="148" t="s">
        <v>681</v>
      </c>
      <c r="D2959" s="148" t="s">
        <v>70</v>
      </c>
      <c r="E2959" s="148">
        <v>4210278.3133690599</v>
      </c>
      <c r="F2959" s="148" t="s">
        <v>37</v>
      </c>
    </row>
    <row r="2960" spans="1:6" ht="15.75">
      <c r="A2960" t="str">
        <f t="shared" si="46"/>
        <v>Château-d'OexNon renseignéECS</v>
      </c>
      <c r="C2960" s="148" t="s">
        <v>681</v>
      </c>
      <c r="D2960" s="148" t="s">
        <v>696</v>
      </c>
      <c r="E2960" s="148">
        <v>0</v>
      </c>
      <c r="F2960" s="148" t="s">
        <v>37</v>
      </c>
    </row>
    <row r="2961" spans="1:6" ht="15.75">
      <c r="A2961" t="str">
        <f t="shared" si="46"/>
        <v>Château-d'OexPACECS</v>
      </c>
      <c r="C2961" s="148" t="s">
        <v>681</v>
      </c>
      <c r="D2961" s="148" t="s">
        <v>69</v>
      </c>
      <c r="E2961" s="148">
        <v>123232.37705929001</v>
      </c>
      <c r="F2961" s="148" t="s">
        <v>37</v>
      </c>
    </row>
    <row r="2962" spans="1:6" ht="15.75">
      <c r="A2962" t="str">
        <f t="shared" si="46"/>
        <v>Château-d'OexSolaireECS</v>
      </c>
      <c r="C2962" s="148" t="s">
        <v>681</v>
      </c>
      <c r="D2962" s="148" t="s">
        <v>240</v>
      </c>
      <c r="E2962" s="148">
        <v>270086.52999999997</v>
      </c>
      <c r="F2962" s="148" t="s">
        <v>37</v>
      </c>
    </row>
    <row r="2963" spans="1:6" ht="15.75">
      <c r="A2963" t="str">
        <f t="shared" si="46"/>
        <v>Chavannes-de-BogisBoisECS</v>
      </c>
      <c r="C2963" s="148" t="s">
        <v>662</v>
      </c>
      <c r="D2963" s="148" t="s">
        <v>66</v>
      </c>
      <c r="E2963" s="148">
        <v>327951.15294117003</v>
      </c>
      <c r="F2963" s="148" t="s">
        <v>37</v>
      </c>
    </row>
    <row r="2964" spans="1:6" ht="15.75">
      <c r="A2964" t="str">
        <f t="shared" si="46"/>
        <v>Chavannes-de-BogisElectricitéECS</v>
      </c>
      <c r="C2964" s="148" t="s">
        <v>662</v>
      </c>
      <c r="D2964" s="148" t="s">
        <v>97</v>
      </c>
      <c r="E2964" s="148">
        <v>829269.77777769999</v>
      </c>
      <c r="F2964" s="148" t="s">
        <v>37</v>
      </c>
    </row>
    <row r="2965" spans="1:6" ht="15.75">
      <c r="A2965" t="str">
        <f t="shared" si="46"/>
        <v>Chavannes-de-BogisGazECS</v>
      </c>
      <c r="C2965" s="148" t="s">
        <v>662</v>
      </c>
      <c r="D2965" s="148" t="s">
        <v>239</v>
      </c>
      <c r="E2965" s="148">
        <v>13018.925831210003</v>
      </c>
      <c r="F2965" s="148" t="s">
        <v>37</v>
      </c>
    </row>
    <row r="2966" spans="1:6" ht="15.75">
      <c r="A2966" t="str">
        <f t="shared" si="46"/>
        <v>Chavannes-de-BogisMazoutECS</v>
      </c>
      <c r="C2966" s="148" t="s">
        <v>662</v>
      </c>
      <c r="D2966" s="148" t="s">
        <v>70</v>
      </c>
      <c r="E2966" s="148">
        <v>661374.4941176601</v>
      </c>
      <c r="F2966" s="148" t="s">
        <v>37</v>
      </c>
    </row>
    <row r="2967" spans="1:6" ht="15.75">
      <c r="A2967" t="str">
        <f t="shared" si="46"/>
        <v>Chavannes-de-BogisNon renseignéECS</v>
      </c>
      <c r="C2967" s="148" t="s">
        <v>662</v>
      </c>
      <c r="D2967" s="148" t="s">
        <v>696</v>
      </c>
      <c r="E2967" s="148">
        <v>0</v>
      </c>
      <c r="F2967" s="148" t="s">
        <v>37</v>
      </c>
    </row>
    <row r="2968" spans="1:6" ht="15.75">
      <c r="A2968" t="str">
        <f t="shared" si="46"/>
        <v>Chavannes-de-BogisPACECS</v>
      </c>
      <c r="C2968" s="148" t="s">
        <v>662</v>
      </c>
      <c r="D2968" s="148" t="s">
        <v>69</v>
      </c>
      <c r="E2968" s="148">
        <v>26679.328130799997</v>
      </c>
      <c r="F2968" s="148" t="s">
        <v>37</v>
      </c>
    </row>
    <row r="2969" spans="1:6" ht="15.75">
      <c r="A2969" t="str">
        <f t="shared" si="46"/>
        <v>Chavannes-de-BogisSolaireECS</v>
      </c>
      <c r="C2969" s="148" t="s">
        <v>662</v>
      </c>
      <c r="D2969" s="148" t="s">
        <v>240</v>
      </c>
      <c r="E2969" s="148">
        <v>68070.800000000017</v>
      </c>
      <c r="F2969" s="148" t="s">
        <v>37</v>
      </c>
    </row>
    <row r="2970" spans="1:6" ht="15.75">
      <c r="A2970" t="str">
        <f t="shared" si="46"/>
        <v>Chavannes-des-BoisAutre agent énergétiqueECS</v>
      </c>
      <c r="C2970" s="148" t="s">
        <v>661</v>
      </c>
      <c r="D2970" s="148" t="s">
        <v>245</v>
      </c>
      <c r="E2970" s="148">
        <v>14059.294117630001</v>
      </c>
      <c r="F2970" s="148" t="s">
        <v>37</v>
      </c>
    </row>
    <row r="2971" spans="1:6" ht="15.75">
      <c r="A2971" t="str">
        <f t="shared" si="46"/>
        <v>Chavannes-des-BoisBoisECS</v>
      </c>
      <c r="C2971" s="148" t="s">
        <v>661</v>
      </c>
      <c r="D2971" s="148" t="s">
        <v>66</v>
      </c>
      <c r="E2971" s="148">
        <v>274544.86274505995</v>
      </c>
      <c r="F2971" s="148" t="s">
        <v>37</v>
      </c>
    </row>
    <row r="2972" spans="1:6" ht="15.75">
      <c r="A2972" t="str">
        <f t="shared" si="46"/>
        <v>Chavannes-des-BoisElectricitéECS</v>
      </c>
      <c r="C2972" s="148" t="s">
        <v>661</v>
      </c>
      <c r="D2972" s="148" t="s">
        <v>97</v>
      </c>
      <c r="E2972" s="148">
        <v>261705.11111111997</v>
      </c>
      <c r="F2972" s="148" t="s">
        <v>37</v>
      </c>
    </row>
    <row r="2973" spans="1:6" ht="15.75">
      <c r="A2973" t="str">
        <f t="shared" si="46"/>
        <v>Chavannes-des-BoisGazECS</v>
      </c>
      <c r="C2973" s="148" t="s">
        <v>661</v>
      </c>
      <c r="D2973" s="148" t="s">
        <v>239</v>
      </c>
      <c r="E2973" s="148">
        <v>66832.276214829995</v>
      </c>
      <c r="F2973" s="148" t="s">
        <v>37</v>
      </c>
    </row>
    <row r="2974" spans="1:6" ht="15.75">
      <c r="A2974" t="str">
        <f t="shared" si="46"/>
        <v>Chavannes-des-BoisMazoutECS</v>
      </c>
      <c r="C2974" s="148" t="s">
        <v>661</v>
      </c>
      <c r="D2974" s="148" t="s">
        <v>70</v>
      </c>
      <c r="E2974" s="148">
        <v>266387.74759361998</v>
      </c>
      <c r="F2974" s="148" t="s">
        <v>37</v>
      </c>
    </row>
    <row r="2975" spans="1:6" ht="15.75">
      <c r="A2975" t="str">
        <f t="shared" si="46"/>
        <v>Chavannes-des-BoisNon renseignéECS</v>
      </c>
      <c r="C2975" s="148" t="s">
        <v>661</v>
      </c>
      <c r="D2975" s="148" t="s">
        <v>696</v>
      </c>
      <c r="E2975" s="148">
        <v>0</v>
      </c>
      <c r="F2975" s="148" t="s">
        <v>37</v>
      </c>
    </row>
    <row r="2976" spans="1:6" ht="15.75">
      <c r="A2976" t="str">
        <f t="shared" si="46"/>
        <v>Chavannes-des-BoisPACECS</v>
      </c>
      <c r="C2976" s="148" t="s">
        <v>661</v>
      </c>
      <c r="D2976" s="148" t="s">
        <v>69</v>
      </c>
      <c r="E2976" s="148">
        <v>61128.227920250007</v>
      </c>
      <c r="F2976" s="148" t="s">
        <v>37</v>
      </c>
    </row>
    <row r="2977" spans="1:6" ht="15.75">
      <c r="A2977" t="str">
        <f t="shared" si="46"/>
        <v>Chavannes-des-BoisSolaireECS</v>
      </c>
      <c r="C2977" s="148" t="s">
        <v>661</v>
      </c>
      <c r="D2977" s="148" t="s">
        <v>240</v>
      </c>
      <c r="E2977" s="148">
        <v>162405.60000000006</v>
      </c>
      <c r="F2977" s="148" t="s">
        <v>37</v>
      </c>
    </row>
    <row r="2978" spans="1:6" ht="15.75">
      <c r="A2978" t="str">
        <f t="shared" si="46"/>
        <v>Chavannes-le-ChêneBoisECS</v>
      </c>
      <c r="C2978" s="148" t="s">
        <v>660</v>
      </c>
      <c r="D2978" s="148" t="s">
        <v>66</v>
      </c>
      <c r="E2978" s="148">
        <v>118058.43137255001</v>
      </c>
      <c r="F2978" s="148" t="s">
        <v>37</v>
      </c>
    </row>
    <row r="2979" spans="1:6" ht="15.75">
      <c r="A2979" t="str">
        <f t="shared" si="46"/>
        <v>Chavannes-le-ChêneElectricitéECS</v>
      </c>
      <c r="C2979" s="148" t="s">
        <v>660</v>
      </c>
      <c r="D2979" s="148" t="s">
        <v>97</v>
      </c>
      <c r="E2979" s="148">
        <v>106440.44444443999</v>
      </c>
      <c r="F2979" s="148" t="s">
        <v>37</v>
      </c>
    </row>
    <row r="2980" spans="1:6" ht="15.75">
      <c r="A2980" t="str">
        <f t="shared" si="46"/>
        <v>Chavannes-le-ChêneGazECS</v>
      </c>
      <c r="C2980" s="148" t="s">
        <v>660</v>
      </c>
      <c r="D2980" s="148" t="s">
        <v>239</v>
      </c>
      <c r="E2980" s="148">
        <v>70046.117647049992</v>
      </c>
      <c r="F2980" s="148" t="s">
        <v>37</v>
      </c>
    </row>
    <row r="2981" spans="1:6" ht="15.75">
      <c r="A2981" t="str">
        <f t="shared" si="46"/>
        <v>Chavannes-le-ChêneMazoutECS</v>
      </c>
      <c r="C2981" s="148" t="s">
        <v>660</v>
      </c>
      <c r="D2981" s="148" t="s">
        <v>70</v>
      </c>
      <c r="E2981" s="148">
        <v>274772.23529414</v>
      </c>
      <c r="F2981" s="148" t="s">
        <v>37</v>
      </c>
    </row>
    <row r="2982" spans="1:6" ht="15.75">
      <c r="A2982" t="str">
        <f t="shared" si="46"/>
        <v>Chavannes-le-ChêneNon renseignéECS</v>
      </c>
      <c r="C2982" s="148" t="s">
        <v>660</v>
      </c>
      <c r="D2982" s="148" t="s">
        <v>696</v>
      </c>
      <c r="E2982" s="148">
        <v>0</v>
      </c>
      <c r="F2982" s="148" t="s">
        <v>37</v>
      </c>
    </row>
    <row r="2983" spans="1:6" ht="15.75">
      <c r="A2983" t="str">
        <f t="shared" si="46"/>
        <v>Chavannes-le-ChênePACECS</v>
      </c>
      <c r="C2983" s="148" t="s">
        <v>660</v>
      </c>
      <c r="D2983" s="148" t="s">
        <v>69</v>
      </c>
      <c r="E2983" s="148">
        <v>3825.2307692300001</v>
      </c>
      <c r="F2983" s="148" t="s">
        <v>37</v>
      </c>
    </row>
    <row r="2984" spans="1:6" ht="15.75">
      <c r="A2984" t="str">
        <f t="shared" si="46"/>
        <v>Chavannes-le-ChêneSolaireECS</v>
      </c>
      <c r="C2984" s="148" t="s">
        <v>660</v>
      </c>
      <c r="D2984" s="148" t="s">
        <v>240</v>
      </c>
      <c r="E2984" s="148">
        <v>84599.2</v>
      </c>
      <c r="F2984" s="148" t="s">
        <v>37</v>
      </c>
    </row>
    <row r="2985" spans="1:6" ht="15.75">
      <c r="A2985" t="str">
        <f t="shared" si="46"/>
        <v>Chavannes-le-VeyronAutre agent énergétiqueECS</v>
      </c>
      <c r="C2985" s="148" t="s">
        <v>659</v>
      </c>
      <c r="D2985" s="148" t="s">
        <v>245</v>
      </c>
      <c r="E2985" s="148" t="e">
        <v>#N/A</v>
      </c>
      <c r="F2985" s="148" t="s">
        <v>37</v>
      </c>
    </row>
    <row r="2986" spans="1:6" ht="15.75">
      <c r="A2986" t="str">
        <f t="shared" si="46"/>
        <v>Chavannes-le-VeyronBoisECS</v>
      </c>
      <c r="C2986" s="148" t="s">
        <v>659</v>
      </c>
      <c r="D2986" s="148" t="s">
        <v>66</v>
      </c>
      <c r="E2986" s="148">
        <v>60218.666666670004</v>
      </c>
      <c r="F2986" s="148" t="s">
        <v>37</v>
      </c>
    </row>
    <row r="2987" spans="1:6" ht="15.75">
      <c r="A2987" t="str">
        <f t="shared" si="46"/>
        <v>Chavannes-le-VeyronGazECS</v>
      </c>
      <c r="C2987" s="148" t="s">
        <v>659</v>
      </c>
      <c r="D2987" s="148" t="s">
        <v>239</v>
      </c>
      <c r="E2987" s="148">
        <v>51972.525831209998</v>
      </c>
      <c r="F2987" s="148" t="s">
        <v>37</v>
      </c>
    </row>
    <row r="2988" spans="1:6" ht="15.75">
      <c r="A2988" t="str">
        <f t="shared" si="46"/>
        <v>Chavannes-le-VeyronMazoutECS</v>
      </c>
      <c r="C2988" s="148" t="s">
        <v>659</v>
      </c>
      <c r="D2988" s="148" t="s">
        <v>70</v>
      </c>
      <c r="E2988" s="148">
        <v>180482.07058824002</v>
      </c>
      <c r="F2988" s="148" t="s">
        <v>37</v>
      </c>
    </row>
    <row r="2989" spans="1:6" ht="15.75">
      <c r="A2989" t="str">
        <f t="shared" si="46"/>
        <v>Chavannes-le-VeyronNon renseignéECS</v>
      </c>
      <c r="C2989" s="148" t="s">
        <v>659</v>
      </c>
      <c r="D2989" s="148" t="s">
        <v>696</v>
      </c>
      <c r="E2989" s="148">
        <v>0</v>
      </c>
      <c r="F2989" s="148" t="s">
        <v>37</v>
      </c>
    </row>
    <row r="2990" spans="1:6" ht="15.75">
      <c r="A2990" t="str">
        <f t="shared" si="46"/>
        <v>Chavannes-le-VeyronPACECS</v>
      </c>
      <c r="C2990" s="148" t="s">
        <v>659</v>
      </c>
      <c r="D2990" s="148" t="s">
        <v>69</v>
      </c>
      <c r="E2990" s="148">
        <v>4948.6956521700004</v>
      </c>
      <c r="F2990" s="148" t="s">
        <v>37</v>
      </c>
    </row>
    <row r="2991" spans="1:6" ht="15.75">
      <c r="A2991" t="str">
        <f t="shared" si="46"/>
        <v>Chavannes-le-VeyronElectricitéECS</v>
      </c>
      <c r="C2991" s="148" t="s">
        <v>659</v>
      </c>
      <c r="D2991" s="148" t="s">
        <v>97</v>
      </c>
      <c r="E2991" s="148">
        <v>33780.44444444</v>
      </c>
      <c r="F2991" s="148" t="s">
        <v>37</v>
      </c>
    </row>
    <row r="2992" spans="1:6" ht="15.75">
      <c r="A2992" t="str">
        <f t="shared" si="46"/>
        <v>Chavannes-le-VeyronSolaireECS</v>
      </c>
      <c r="C2992" s="148" t="s">
        <v>659</v>
      </c>
      <c r="D2992" s="148" t="s">
        <v>240</v>
      </c>
      <c r="E2992" s="148">
        <v>2284.8000000000002</v>
      </c>
      <c r="F2992" s="148" t="s">
        <v>37</v>
      </c>
    </row>
    <row r="2993" spans="1:6" ht="15.75">
      <c r="A2993" t="str">
        <f t="shared" si="46"/>
        <v>Chavannes-près-RenensBoisECS</v>
      </c>
      <c r="C2993" s="148" t="s">
        <v>682</v>
      </c>
      <c r="D2993" s="148" t="s">
        <v>66</v>
      </c>
      <c r="E2993" s="148">
        <v>6670.5882352899998</v>
      </c>
      <c r="F2993" s="148" t="s">
        <v>37</v>
      </c>
    </row>
    <row r="2994" spans="1:6" ht="15.75">
      <c r="A2994" t="str">
        <f t="shared" si="46"/>
        <v>Chavannes-près-RenensCADECS</v>
      </c>
      <c r="C2994" s="148" t="s">
        <v>682</v>
      </c>
      <c r="D2994" s="148" t="s">
        <v>242</v>
      </c>
      <c r="E2994" s="148">
        <v>6960.8</v>
      </c>
      <c r="F2994" s="148" t="s">
        <v>37</v>
      </c>
    </row>
    <row r="2995" spans="1:6" ht="15.75">
      <c r="A2995" t="str">
        <f t="shared" si="46"/>
        <v>Chavannes-près-RenensElectricitéECS</v>
      </c>
      <c r="C2995" s="148" t="s">
        <v>682</v>
      </c>
      <c r="D2995" s="148" t="s">
        <v>97</v>
      </c>
      <c r="E2995" s="148">
        <v>196886.66666666995</v>
      </c>
      <c r="F2995" s="148" t="s">
        <v>37</v>
      </c>
    </row>
    <row r="2996" spans="1:6" ht="15.75">
      <c r="A2996" t="str">
        <f t="shared" si="46"/>
        <v>Chavannes-près-RenensGazECS</v>
      </c>
      <c r="C2996" s="148" t="s">
        <v>682</v>
      </c>
      <c r="D2996" s="148" t="s">
        <v>239</v>
      </c>
      <c r="E2996" s="148">
        <v>4192909.0214833408</v>
      </c>
      <c r="F2996" s="148" t="s">
        <v>37</v>
      </c>
    </row>
    <row r="2997" spans="1:6" ht="15.75">
      <c r="A2997" t="str">
        <f t="shared" si="46"/>
        <v>Chavannes-près-RenensMazoutECS</v>
      </c>
      <c r="C2997" s="148" t="s">
        <v>682</v>
      </c>
      <c r="D2997" s="148" t="s">
        <v>70</v>
      </c>
      <c r="E2997" s="148">
        <v>4024922.5882352698</v>
      </c>
      <c r="F2997" s="148" t="s">
        <v>37</v>
      </c>
    </row>
    <row r="2998" spans="1:6" ht="15.75">
      <c r="A2998" t="str">
        <f t="shared" si="46"/>
        <v>Chavannes-près-RenensNon renseignéECS</v>
      </c>
      <c r="C2998" s="148" t="s">
        <v>682</v>
      </c>
      <c r="D2998" s="148" t="s">
        <v>696</v>
      </c>
      <c r="E2998" s="148">
        <v>0</v>
      </c>
      <c r="F2998" s="148" t="s">
        <v>37</v>
      </c>
    </row>
    <row r="2999" spans="1:6" ht="15.75">
      <c r="A2999" t="str">
        <f t="shared" si="46"/>
        <v>Chavannes-près-RenensPACECS</v>
      </c>
      <c r="C2999" s="148" t="s">
        <v>682</v>
      </c>
      <c r="D2999" s="148" t="s">
        <v>69</v>
      </c>
      <c r="E2999" s="148">
        <v>37839.247863249999</v>
      </c>
      <c r="F2999" s="148" t="s">
        <v>37</v>
      </c>
    </row>
    <row r="3000" spans="1:6" ht="15.75">
      <c r="A3000" t="str">
        <f t="shared" si="46"/>
        <v>Chavannes-près-RenensAutre agent énergétiqueECS</v>
      </c>
      <c r="C3000" s="148" t="s">
        <v>682</v>
      </c>
      <c r="D3000" s="148" t="s">
        <v>245</v>
      </c>
      <c r="E3000" s="148">
        <v>3663.8823529400001</v>
      </c>
      <c r="F3000" s="148" t="s">
        <v>37</v>
      </c>
    </row>
    <row r="3001" spans="1:6" ht="15.75">
      <c r="A3001" t="str">
        <f t="shared" si="46"/>
        <v>Chavannes-près-RenensSolaireECS</v>
      </c>
      <c r="C3001" s="148" t="s">
        <v>682</v>
      </c>
      <c r="D3001" s="148" t="s">
        <v>240</v>
      </c>
      <c r="E3001" s="148">
        <v>493023.67058824003</v>
      </c>
      <c r="F3001" s="148" t="s">
        <v>37</v>
      </c>
    </row>
    <row r="3002" spans="1:6" ht="15.75">
      <c r="A3002" t="str">
        <f t="shared" si="46"/>
        <v>Chavannes-sur-MoudonBoisECS</v>
      </c>
      <c r="C3002" s="148" t="s">
        <v>658</v>
      </c>
      <c r="D3002" s="148" t="s">
        <v>66</v>
      </c>
      <c r="E3002" s="148">
        <v>129532.04078431</v>
      </c>
      <c r="F3002" s="148" t="s">
        <v>37</v>
      </c>
    </row>
    <row r="3003" spans="1:6" ht="15.75">
      <c r="A3003" t="str">
        <f t="shared" si="46"/>
        <v>Chavannes-sur-MoudonElectricitéECS</v>
      </c>
      <c r="C3003" s="148" t="s">
        <v>658</v>
      </c>
      <c r="D3003" s="148" t="s">
        <v>97</v>
      </c>
      <c r="E3003" s="148">
        <v>126323.86666665999</v>
      </c>
      <c r="F3003" s="148" t="s">
        <v>37</v>
      </c>
    </row>
    <row r="3004" spans="1:6" ht="15.75">
      <c r="A3004" t="str">
        <f t="shared" si="46"/>
        <v>Chavannes-sur-MoudonGazECS</v>
      </c>
      <c r="C3004" s="148" t="s">
        <v>658</v>
      </c>
      <c r="D3004" s="148" t="s">
        <v>239</v>
      </c>
      <c r="E3004" s="148">
        <v>1620.7058823499999</v>
      </c>
      <c r="F3004" s="148" t="s">
        <v>37</v>
      </c>
    </row>
    <row r="3005" spans="1:6" ht="15.75">
      <c r="A3005" t="str">
        <f t="shared" si="46"/>
        <v>Chavannes-sur-MoudonMazoutECS</v>
      </c>
      <c r="C3005" s="148" t="s">
        <v>658</v>
      </c>
      <c r="D3005" s="148" t="s">
        <v>70</v>
      </c>
      <c r="E3005" s="148">
        <v>141755.76470589</v>
      </c>
      <c r="F3005" s="148" t="s">
        <v>37</v>
      </c>
    </row>
    <row r="3006" spans="1:6" ht="15.75">
      <c r="A3006" t="str">
        <f t="shared" si="46"/>
        <v>Chavannes-sur-MoudonNon renseignéECS</v>
      </c>
      <c r="C3006" s="148" t="s">
        <v>658</v>
      </c>
      <c r="D3006" s="148" t="s">
        <v>696</v>
      </c>
      <c r="E3006" s="148">
        <v>0</v>
      </c>
      <c r="F3006" s="148" t="s">
        <v>37</v>
      </c>
    </row>
    <row r="3007" spans="1:6" ht="15.75">
      <c r="A3007" t="str">
        <f t="shared" si="46"/>
        <v>Chavannes-sur-MoudonPACECS</v>
      </c>
      <c r="C3007" s="148" t="s">
        <v>658</v>
      </c>
      <c r="D3007" s="148" t="s">
        <v>69</v>
      </c>
      <c r="E3007" s="148">
        <v>12761.119658129999</v>
      </c>
      <c r="F3007" s="148" t="s">
        <v>37</v>
      </c>
    </row>
    <row r="3008" spans="1:6" ht="15.75">
      <c r="A3008" t="str">
        <f t="shared" si="46"/>
        <v>Chavannes-sur-MoudonSolaireECS</v>
      </c>
      <c r="C3008" s="148" t="s">
        <v>658</v>
      </c>
      <c r="D3008" s="148" t="s">
        <v>240</v>
      </c>
      <c r="E3008" s="148">
        <v>29002.399999999998</v>
      </c>
      <c r="F3008" s="148" t="s">
        <v>37</v>
      </c>
    </row>
    <row r="3009" spans="1:6" ht="15.75">
      <c r="A3009" t="str">
        <f t="shared" si="46"/>
        <v>ChavornayAutre agent énergétiqueECS</v>
      </c>
      <c r="C3009" s="148" t="s">
        <v>427</v>
      </c>
      <c r="D3009" s="148" t="s">
        <v>245</v>
      </c>
      <c r="E3009" s="148">
        <v>9605.6470588200009</v>
      </c>
      <c r="F3009" s="148" t="s">
        <v>37</v>
      </c>
    </row>
    <row r="3010" spans="1:6" ht="15.75">
      <c r="A3010" t="str">
        <f t="shared" si="46"/>
        <v>ChavornayBoisECS</v>
      </c>
      <c r="C3010" s="148" t="s">
        <v>427</v>
      </c>
      <c r="D3010" s="148" t="s">
        <v>66</v>
      </c>
      <c r="E3010" s="148">
        <v>440329.72392155003</v>
      </c>
      <c r="F3010" s="148" t="s">
        <v>37</v>
      </c>
    </row>
    <row r="3011" spans="1:6" ht="15.75">
      <c r="A3011" t="str">
        <f t="shared" si="46"/>
        <v>ChavornayCADECS</v>
      </c>
      <c r="C3011" s="148" t="s">
        <v>427</v>
      </c>
      <c r="D3011" s="148" t="s">
        <v>242</v>
      </c>
      <c r="E3011" s="148">
        <v>8041.6</v>
      </c>
      <c r="F3011" s="148" t="s">
        <v>37</v>
      </c>
    </row>
    <row r="3012" spans="1:6" ht="15.75">
      <c r="A3012" t="str">
        <f t="shared" si="46"/>
        <v>ChavornayElectricitéECS</v>
      </c>
      <c r="C3012" s="148" t="s">
        <v>427</v>
      </c>
      <c r="D3012" s="148" t="s">
        <v>97</v>
      </c>
      <c r="E3012" s="148">
        <v>761020.08888885006</v>
      </c>
      <c r="F3012" s="148" t="s">
        <v>37</v>
      </c>
    </row>
    <row r="3013" spans="1:6" ht="15.75">
      <c r="A3013" t="str">
        <f t="shared" si="46"/>
        <v>ChavornayGazECS</v>
      </c>
      <c r="C3013" s="148" t="s">
        <v>427</v>
      </c>
      <c r="D3013" s="148" t="s">
        <v>239</v>
      </c>
      <c r="E3013" s="148">
        <v>2389195.5097185895</v>
      </c>
      <c r="F3013" s="148" t="s">
        <v>37</v>
      </c>
    </row>
    <row r="3014" spans="1:6" ht="15.75">
      <c r="A3014" t="str">
        <f t="shared" si="46"/>
        <v>ChavornayMazoutECS</v>
      </c>
      <c r="C3014" s="148" t="s">
        <v>427</v>
      </c>
      <c r="D3014" s="148" t="s">
        <v>70</v>
      </c>
      <c r="E3014" s="148">
        <v>1890166.0235293596</v>
      </c>
      <c r="F3014" s="148" t="s">
        <v>37</v>
      </c>
    </row>
    <row r="3015" spans="1:6" ht="15.75">
      <c r="A3015" t="str">
        <f t="shared" si="46"/>
        <v>ChavornayNon renseignéECS</v>
      </c>
      <c r="C3015" s="148" t="s">
        <v>427</v>
      </c>
      <c r="D3015" s="148" t="s">
        <v>696</v>
      </c>
      <c r="E3015" s="148">
        <v>0</v>
      </c>
      <c r="F3015" s="148" t="s">
        <v>37</v>
      </c>
    </row>
    <row r="3016" spans="1:6" ht="15.75">
      <c r="A3016" t="str">
        <f t="shared" si="46"/>
        <v>ChavornayPACECS</v>
      </c>
      <c r="C3016" s="148" t="s">
        <v>427</v>
      </c>
      <c r="D3016" s="148" t="s">
        <v>69</v>
      </c>
      <c r="E3016" s="148">
        <v>80289.784095100025</v>
      </c>
      <c r="F3016" s="148" t="s">
        <v>37</v>
      </c>
    </row>
    <row r="3017" spans="1:6" ht="15.75">
      <c r="A3017" t="str">
        <f t="shared" si="46"/>
        <v>ChavornaySolaireECS</v>
      </c>
      <c r="C3017" s="148" t="s">
        <v>427</v>
      </c>
      <c r="D3017" s="148" t="s">
        <v>240</v>
      </c>
      <c r="E3017" s="148">
        <v>754279.39999999991</v>
      </c>
      <c r="F3017" s="148" t="s">
        <v>37</v>
      </c>
    </row>
    <row r="3018" spans="1:6" ht="15.75">
      <c r="A3018" t="str">
        <f t="shared" si="46"/>
        <v>Chêne-PâquierBoisECS</v>
      </c>
      <c r="C3018" s="148" t="s">
        <v>657</v>
      </c>
      <c r="D3018" s="148" t="s">
        <v>66</v>
      </c>
      <c r="E3018" s="148">
        <v>37158.261960780001</v>
      </c>
      <c r="F3018" s="148" t="s">
        <v>37</v>
      </c>
    </row>
    <row r="3019" spans="1:6" ht="15.75">
      <c r="A3019" t="str">
        <f t="shared" ref="A3019:A3082" si="47">_xlfn.CONCAT(C3019,D3019,F3019)</f>
        <v>Chêne-PâquierCADECS</v>
      </c>
      <c r="C3019" s="148" t="s">
        <v>657</v>
      </c>
      <c r="D3019" s="148" t="s">
        <v>242</v>
      </c>
      <c r="E3019" s="148">
        <v>16402.400000000001</v>
      </c>
      <c r="F3019" s="148" t="s">
        <v>37</v>
      </c>
    </row>
    <row r="3020" spans="1:6" ht="15.75">
      <c r="A3020" t="str">
        <f t="shared" si="47"/>
        <v>Chêne-PâquierElectricitéECS</v>
      </c>
      <c r="C3020" s="148" t="s">
        <v>657</v>
      </c>
      <c r="D3020" s="148" t="s">
        <v>97</v>
      </c>
      <c r="E3020" s="148">
        <v>69373.111111109989</v>
      </c>
      <c r="F3020" s="148" t="s">
        <v>37</v>
      </c>
    </row>
    <row r="3021" spans="1:6" ht="15.75">
      <c r="A3021" t="str">
        <f t="shared" si="47"/>
        <v>Chêne-PâquierGazECS</v>
      </c>
      <c r="C3021" s="148" t="s">
        <v>657</v>
      </c>
      <c r="D3021" s="148" t="s">
        <v>239</v>
      </c>
      <c r="E3021" s="148">
        <v>8459.2941176500008</v>
      </c>
      <c r="F3021" s="148" t="s">
        <v>37</v>
      </c>
    </row>
    <row r="3022" spans="1:6" ht="15.75">
      <c r="A3022" t="str">
        <f t="shared" si="47"/>
        <v>Chêne-PâquierMazoutECS</v>
      </c>
      <c r="C3022" s="148" t="s">
        <v>657</v>
      </c>
      <c r="D3022" s="148" t="s">
        <v>70</v>
      </c>
      <c r="E3022" s="148">
        <v>121154.35294116999</v>
      </c>
      <c r="F3022" s="148" t="s">
        <v>37</v>
      </c>
    </row>
    <row r="3023" spans="1:6" ht="15.75">
      <c r="A3023" t="str">
        <f t="shared" si="47"/>
        <v>Chêne-PâquierNon renseignéECS</v>
      </c>
      <c r="C3023" s="148" t="s">
        <v>657</v>
      </c>
      <c r="D3023" s="148" t="s">
        <v>696</v>
      </c>
      <c r="E3023" s="148">
        <v>0</v>
      </c>
      <c r="F3023" s="148" t="s">
        <v>37</v>
      </c>
    </row>
    <row r="3024" spans="1:6" ht="15.75">
      <c r="A3024" t="str">
        <f t="shared" si="47"/>
        <v>Chêne-PâquierPACECS</v>
      </c>
      <c r="C3024" s="148" t="s">
        <v>657</v>
      </c>
      <c r="D3024" s="148" t="s">
        <v>69</v>
      </c>
      <c r="E3024" s="148">
        <v>3571.0769230799997</v>
      </c>
      <c r="F3024" s="148" t="s">
        <v>37</v>
      </c>
    </row>
    <row r="3025" spans="1:6" ht="15.75">
      <c r="A3025" t="str">
        <f t="shared" si="47"/>
        <v>Chêne-PâquierSolaireECS</v>
      </c>
      <c r="C3025" s="148" t="s">
        <v>657</v>
      </c>
      <c r="D3025" s="148" t="s">
        <v>240</v>
      </c>
      <c r="E3025" s="148">
        <v>33755.4</v>
      </c>
      <c r="F3025" s="148" t="s">
        <v>37</v>
      </c>
    </row>
    <row r="3026" spans="1:6" ht="15.75">
      <c r="A3026" t="str">
        <f t="shared" si="47"/>
        <v>Cheseaux-NoréazAutre agent énergétiqueECS</v>
      </c>
      <c r="C3026" s="148" t="s">
        <v>656</v>
      </c>
      <c r="D3026" s="148" t="s">
        <v>245</v>
      </c>
      <c r="E3026" s="148">
        <v>10963.25319693</v>
      </c>
      <c r="F3026" s="148" t="s">
        <v>37</v>
      </c>
    </row>
    <row r="3027" spans="1:6" ht="15.75">
      <c r="A3027" t="str">
        <f t="shared" si="47"/>
        <v>Cheseaux-NoréazBoisECS</v>
      </c>
      <c r="C3027" s="148" t="s">
        <v>656</v>
      </c>
      <c r="D3027" s="148" t="s">
        <v>66</v>
      </c>
      <c r="E3027" s="148">
        <v>169648.70588236005</v>
      </c>
      <c r="F3027" s="148" t="s">
        <v>37</v>
      </c>
    </row>
    <row r="3028" spans="1:6" ht="15.75">
      <c r="A3028" t="str">
        <f t="shared" si="47"/>
        <v>Cheseaux-NoréazCADECS</v>
      </c>
      <c r="C3028" s="148" t="s">
        <v>656</v>
      </c>
      <c r="D3028" s="148" t="s">
        <v>242</v>
      </c>
      <c r="E3028" s="148" t="e">
        <v>#N/A</v>
      </c>
      <c r="F3028" s="148" t="s">
        <v>37</v>
      </c>
    </row>
    <row r="3029" spans="1:6" ht="15.75">
      <c r="A3029" t="str">
        <f t="shared" si="47"/>
        <v>Cheseaux-NoréazElectricitéECS</v>
      </c>
      <c r="C3029" s="148" t="s">
        <v>656</v>
      </c>
      <c r="D3029" s="148" t="s">
        <v>97</v>
      </c>
      <c r="E3029" s="148">
        <v>335883.33333338</v>
      </c>
      <c r="F3029" s="148" t="s">
        <v>37</v>
      </c>
    </row>
    <row r="3030" spans="1:6" ht="15.75">
      <c r="A3030" t="str">
        <f t="shared" si="47"/>
        <v>Cheseaux-NoréazGazECS</v>
      </c>
      <c r="C3030" s="148" t="s">
        <v>656</v>
      </c>
      <c r="D3030" s="148" t="s">
        <v>239</v>
      </c>
      <c r="E3030" s="148">
        <v>54581.613810770003</v>
      </c>
      <c r="F3030" s="148" t="s">
        <v>37</v>
      </c>
    </row>
    <row r="3031" spans="1:6" ht="15.75">
      <c r="A3031" t="str">
        <f t="shared" si="47"/>
        <v>Cheseaux-NoréazMazoutECS</v>
      </c>
      <c r="C3031" s="148" t="s">
        <v>656</v>
      </c>
      <c r="D3031" s="148" t="s">
        <v>70</v>
      </c>
      <c r="E3031" s="148">
        <v>353208.47058824013</v>
      </c>
      <c r="F3031" s="148" t="s">
        <v>37</v>
      </c>
    </row>
    <row r="3032" spans="1:6" ht="15.75">
      <c r="A3032" t="str">
        <f t="shared" si="47"/>
        <v>Cheseaux-NoréazNon renseignéECS</v>
      </c>
      <c r="C3032" s="148" t="s">
        <v>656</v>
      </c>
      <c r="D3032" s="148" t="s">
        <v>696</v>
      </c>
      <c r="E3032" s="148" t="e">
        <v>#N/A</v>
      </c>
      <c r="F3032" s="148" t="s">
        <v>37</v>
      </c>
    </row>
    <row r="3033" spans="1:6" ht="15.75">
      <c r="A3033" t="str">
        <f t="shared" si="47"/>
        <v>Cheseaux-NoréazPACECS</v>
      </c>
      <c r="C3033" s="148" t="s">
        <v>656</v>
      </c>
      <c r="D3033" s="148" t="s">
        <v>69</v>
      </c>
      <c r="E3033" s="148">
        <v>29104.111482730001</v>
      </c>
      <c r="F3033" s="148" t="s">
        <v>37</v>
      </c>
    </row>
    <row r="3034" spans="1:6" ht="15.75">
      <c r="A3034" t="str">
        <f t="shared" si="47"/>
        <v>Cheseaux-NoréazSolaireECS</v>
      </c>
      <c r="C3034" s="148" t="s">
        <v>656</v>
      </c>
      <c r="D3034" s="148" t="s">
        <v>240</v>
      </c>
      <c r="E3034" s="148">
        <v>126876.40000000001</v>
      </c>
      <c r="F3034" s="148" t="s">
        <v>37</v>
      </c>
    </row>
    <row r="3035" spans="1:6" ht="15.75">
      <c r="A3035" t="str">
        <f t="shared" si="47"/>
        <v>Cheseaux-sur-LausanneBoisECS</v>
      </c>
      <c r="C3035" s="148" t="s">
        <v>655</v>
      </c>
      <c r="D3035" s="148" t="s">
        <v>66</v>
      </c>
      <c r="E3035" s="148">
        <v>168026.79215685997</v>
      </c>
      <c r="F3035" s="148" t="s">
        <v>37</v>
      </c>
    </row>
    <row r="3036" spans="1:6" ht="15.75">
      <c r="A3036" t="str">
        <f t="shared" si="47"/>
        <v>Cheseaux-sur-LausanneElectricitéECS</v>
      </c>
      <c r="C3036" s="148" t="s">
        <v>655</v>
      </c>
      <c r="D3036" s="148" t="s">
        <v>97</v>
      </c>
      <c r="E3036" s="148">
        <v>726997.44444446987</v>
      </c>
      <c r="F3036" s="148" t="s">
        <v>37</v>
      </c>
    </row>
    <row r="3037" spans="1:6" ht="15.75">
      <c r="A3037" t="str">
        <f t="shared" si="47"/>
        <v>Cheseaux-sur-LausanneGazECS</v>
      </c>
      <c r="C3037" s="148" t="s">
        <v>655</v>
      </c>
      <c r="D3037" s="148" t="s">
        <v>239</v>
      </c>
      <c r="E3037" s="148">
        <v>2133926.8964194302</v>
      </c>
      <c r="F3037" s="148" t="s">
        <v>37</v>
      </c>
    </row>
    <row r="3038" spans="1:6" ht="15.75">
      <c r="A3038" t="str">
        <f t="shared" si="47"/>
        <v>Cheseaux-sur-LausanneMazoutECS</v>
      </c>
      <c r="C3038" s="148" t="s">
        <v>655</v>
      </c>
      <c r="D3038" s="148" t="s">
        <v>70</v>
      </c>
      <c r="E3038" s="148">
        <v>2298895.3647058788</v>
      </c>
      <c r="F3038" s="148" t="s">
        <v>37</v>
      </c>
    </row>
    <row r="3039" spans="1:6" ht="15.75">
      <c r="A3039" t="str">
        <f t="shared" si="47"/>
        <v>Cheseaux-sur-LausanneNon renseignéECS</v>
      </c>
      <c r="C3039" s="148" t="s">
        <v>655</v>
      </c>
      <c r="D3039" s="148" t="s">
        <v>696</v>
      </c>
      <c r="E3039" s="148">
        <v>0</v>
      </c>
      <c r="F3039" s="148" t="s">
        <v>37</v>
      </c>
    </row>
    <row r="3040" spans="1:6" ht="15.75">
      <c r="A3040" t="str">
        <f t="shared" si="47"/>
        <v>Cheseaux-sur-LausannePACECS</v>
      </c>
      <c r="C3040" s="148" t="s">
        <v>655</v>
      </c>
      <c r="D3040" s="148" t="s">
        <v>69</v>
      </c>
      <c r="E3040" s="148">
        <v>101850.85624921</v>
      </c>
      <c r="F3040" s="148" t="s">
        <v>37</v>
      </c>
    </row>
    <row r="3041" spans="1:6" ht="15.75">
      <c r="A3041" t="str">
        <f t="shared" si="47"/>
        <v>Cheseaux-sur-LausanneAutre agent énergétiqueECS</v>
      </c>
      <c r="C3041" s="148" t="s">
        <v>655</v>
      </c>
      <c r="D3041" s="148" t="s">
        <v>245</v>
      </c>
      <c r="E3041" s="148">
        <v>10799.764705879999</v>
      </c>
      <c r="F3041" s="148" t="s">
        <v>37</v>
      </c>
    </row>
    <row r="3042" spans="1:6" ht="15.75">
      <c r="A3042" t="str">
        <f t="shared" si="47"/>
        <v>Cheseaux-sur-LausanneSolaireECS</v>
      </c>
      <c r="C3042" s="148" t="s">
        <v>655</v>
      </c>
      <c r="D3042" s="148" t="s">
        <v>240</v>
      </c>
      <c r="E3042" s="148">
        <v>652836.1</v>
      </c>
      <c r="F3042" s="148" t="s">
        <v>37</v>
      </c>
    </row>
    <row r="3043" spans="1:6" ht="15.75">
      <c r="A3043" t="str">
        <f t="shared" si="47"/>
        <v>ChéserexBoisECS</v>
      </c>
      <c r="C3043" s="148" t="s">
        <v>654</v>
      </c>
      <c r="D3043" s="148" t="s">
        <v>66</v>
      </c>
      <c r="E3043" s="148">
        <v>132729.37725491001</v>
      </c>
      <c r="F3043" s="148" t="s">
        <v>37</v>
      </c>
    </row>
    <row r="3044" spans="1:6" ht="15.75">
      <c r="A3044" t="str">
        <f t="shared" si="47"/>
        <v>ChéserexCADECS</v>
      </c>
      <c r="C3044" s="148" t="s">
        <v>654</v>
      </c>
      <c r="D3044" s="148" t="s">
        <v>242</v>
      </c>
      <c r="E3044" s="148">
        <v>127340.8</v>
      </c>
      <c r="F3044" s="148" t="s">
        <v>37</v>
      </c>
    </row>
    <row r="3045" spans="1:6" ht="15.75">
      <c r="A3045" t="str">
        <f t="shared" si="47"/>
        <v>ChéserexElectricitéECS</v>
      </c>
      <c r="C3045" s="148" t="s">
        <v>654</v>
      </c>
      <c r="D3045" s="148" t="s">
        <v>97</v>
      </c>
      <c r="E3045" s="148">
        <v>447629.77777774003</v>
      </c>
      <c r="F3045" s="148" t="s">
        <v>37</v>
      </c>
    </row>
    <row r="3046" spans="1:6" ht="15.75">
      <c r="A3046" t="str">
        <f t="shared" si="47"/>
        <v>ChéserexGazECS</v>
      </c>
      <c r="C3046" s="148" t="s">
        <v>654</v>
      </c>
      <c r="D3046" s="148" t="s">
        <v>239</v>
      </c>
      <c r="E3046" s="148">
        <v>25450.35294117</v>
      </c>
      <c r="F3046" s="148" t="s">
        <v>37</v>
      </c>
    </row>
    <row r="3047" spans="1:6" ht="15.75">
      <c r="A3047" t="str">
        <f t="shared" si="47"/>
        <v>ChéserexMazoutECS</v>
      </c>
      <c r="C3047" s="148" t="s">
        <v>654</v>
      </c>
      <c r="D3047" s="148" t="s">
        <v>70</v>
      </c>
      <c r="E3047" s="148">
        <v>1234989.411764771</v>
      </c>
      <c r="F3047" s="148" t="s">
        <v>37</v>
      </c>
    </row>
    <row r="3048" spans="1:6" ht="15.75">
      <c r="A3048" t="str">
        <f t="shared" si="47"/>
        <v>ChéserexNon renseignéECS</v>
      </c>
      <c r="C3048" s="148" t="s">
        <v>654</v>
      </c>
      <c r="D3048" s="148" t="s">
        <v>696</v>
      </c>
      <c r="E3048" s="148">
        <v>0</v>
      </c>
      <c r="F3048" s="148" t="s">
        <v>37</v>
      </c>
    </row>
    <row r="3049" spans="1:6" ht="15.75">
      <c r="A3049" t="str">
        <f t="shared" si="47"/>
        <v>ChéserexPACECS</v>
      </c>
      <c r="C3049" s="148" t="s">
        <v>654</v>
      </c>
      <c r="D3049" s="148" t="s">
        <v>69</v>
      </c>
      <c r="E3049" s="148">
        <v>42516.338226159991</v>
      </c>
      <c r="F3049" s="148" t="s">
        <v>37</v>
      </c>
    </row>
    <row r="3050" spans="1:6" ht="15.75">
      <c r="A3050" t="str">
        <f t="shared" si="47"/>
        <v>ChéserexSolaireECS</v>
      </c>
      <c r="C3050" s="148" t="s">
        <v>654</v>
      </c>
      <c r="D3050" s="148" t="s">
        <v>240</v>
      </c>
      <c r="E3050" s="148">
        <v>54632.900000000009</v>
      </c>
      <c r="F3050" s="148" t="s">
        <v>37</v>
      </c>
    </row>
    <row r="3051" spans="1:6" ht="15.75">
      <c r="A3051" t="str">
        <f t="shared" si="47"/>
        <v>ChesselBoisECS</v>
      </c>
      <c r="C3051" s="148" t="s">
        <v>428</v>
      </c>
      <c r="D3051" s="148" t="s">
        <v>66</v>
      </c>
      <c r="E3051" s="148">
        <v>3778.1333333299999</v>
      </c>
      <c r="F3051" s="148" t="s">
        <v>37</v>
      </c>
    </row>
    <row r="3052" spans="1:6" ht="15.75">
      <c r="A3052" t="str">
        <f t="shared" si="47"/>
        <v>ChesselElectricitéECS</v>
      </c>
      <c r="C3052" s="148" t="s">
        <v>428</v>
      </c>
      <c r="D3052" s="148" t="s">
        <v>97</v>
      </c>
      <c r="E3052" s="148">
        <v>67336.888888910005</v>
      </c>
      <c r="F3052" s="148" t="s">
        <v>37</v>
      </c>
    </row>
    <row r="3053" spans="1:6" ht="15.75">
      <c r="A3053" t="str">
        <f t="shared" si="47"/>
        <v>ChesselGazECS</v>
      </c>
      <c r="C3053" s="148" t="s">
        <v>428</v>
      </c>
      <c r="D3053" s="148" t="s">
        <v>239</v>
      </c>
      <c r="E3053" s="148">
        <v>53227.427109949997</v>
      </c>
      <c r="F3053" s="148" t="s">
        <v>37</v>
      </c>
    </row>
    <row r="3054" spans="1:6" ht="15.75">
      <c r="A3054" t="str">
        <f t="shared" si="47"/>
        <v>ChesselMazoutECS</v>
      </c>
      <c r="C3054" s="148" t="s">
        <v>428</v>
      </c>
      <c r="D3054" s="148" t="s">
        <v>70</v>
      </c>
      <c r="E3054" s="148">
        <v>312002.35294116999</v>
      </c>
      <c r="F3054" s="148" t="s">
        <v>37</v>
      </c>
    </row>
    <row r="3055" spans="1:6" ht="15.75">
      <c r="A3055" t="str">
        <f t="shared" si="47"/>
        <v>ChesselNon renseignéECS</v>
      </c>
      <c r="C3055" s="148" t="s">
        <v>428</v>
      </c>
      <c r="D3055" s="148" t="s">
        <v>696</v>
      </c>
      <c r="E3055" s="148">
        <v>0</v>
      </c>
      <c r="F3055" s="148" t="s">
        <v>37</v>
      </c>
    </row>
    <row r="3056" spans="1:6" ht="15.75">
      <c r="A3056" t="str">
        <f t="shared" si="47"/>
        <v>ChesselPACECS</v>
      </c>
      <c r="C3056" s="148" t="s">
        <v>428</v>
      </c>
      <c r="D3056" s="148" t="s">
        <v>69</v>
      </c>
      <c r="E3056" s="148">
        <v>8799.3563731100003</v>
      </c>
      <c r="F3056" s="148" t="s">
        <v>37</v>
      </c>
    </row>
    <row r="3057" spans="1:6" ht="15.75">
      <c r="A3057" t="str">
        <f t="shared" si="47"/>
        <v>ChesselCADECS</v>
      </c>
      <c r="C3057" s="148" t="s">
        <v>428</v>
      </c>
      <c r="D3057" s="148" t="s">
        <v>242</v>
      </c>
      <c r="E3057" s="148">
        <v>2105.6</v>
      </c>
      <c r="F3057" s="148" t="s">
        <v>37</v>
      </c>
    </row>
    <row r="3058" spans="1:6" ht="15.75">
      <c r="A3058" t="str">
        <f t="shared" si="47"/>
        <v>ChesselSolaireECS</v>
      </c>
      <c r="C3058" s="148" t="s">
        <v>428</v>
      </c>
      <c r="D3058" s="148" t="s">
        <v>240</v>
      </c>
      <c r="E3058" s="148">
        <v>137160.79999999999</v>
      </c>
      <c r="F3058" s="148" t="s">
        <v>37</v>
      </c>
    </row>
    <row r="3059" spans="1:6" ht="15.75">
      <c r="A3059" t="str">
        <f t="shared" si="47"/>
        <v>ChevillyBoisECS</v>
      </c>
      <c r="C3059" s="148" t="s">
        <v>429</v>
      </c>
      <c r="D3059" s="148" t="s">
        <v>66</v>
      </c>
      <c r="E3059" s="148">
        <v>31457.066666660001</v>
      </c>
      <c r="F3059" s="148" t="s">
        <v>37</v>
      </c>
    </row>
    <row r="3060" spans="1:6" ht="15.75">
      <c r="A3060" t="str">
        <f t="shared" si="47"/>
        <v>ChevillyElectricitéECS</v>
      </c>
      <c r="C3060" s="148" t="s">
        <v>429</v>
      </c>
      <c r="D3060" s="148" t="s">
        <v>97</v>
      </c>
      <c r="E3060" s="148">
        <v>112102.66666666001</v>
      </c>
      <c r="F3060" s="148" t="s">
        <v>37</v>
      </c>
    </row>
    <row r="3061" spans="1:6" ht="15.75">
      <c r="A3061" t="str">
        <f t="shared" si="47"/>
        <v>ChevillyGazECS</v>
      </c>
      <c r="C3061" s="148" t="s">
        <v>429</v>
      </c>
      <c r="D3061" s="148" t="s">
        <v>239</v>
      </c>
      <c r="E3061" s="148">
        <v>4569.2992327299999</v>
      </c>
      <c r="F3061" s="148" t="s">
        <v>37</v>
      </c>
    </row>
    <row r="3062" spans="1:6" ht="15.75">
      <c r="A3062" t="str">
        <f t="shared" si="47"/>
        <v>ChevillyMazoutECS</v>
      </c>
      <c r="C3062" s="148" t="s">
        <v>429</v>
      </c>
      <c r="D3062" s="148" t="s">
        <v>70</v>
      </c>
      <c r="E3062" s="148">
        <v>231373.55294119002</v>
      </c>
      <c r="F3062" s="148" t="s">
        <v>37</v>
      </c>
    </row>
    <row r="3063" spans="1:6" ht="15.75">
      <c r="A3063" t="str">
        <f t="shared" si="47"/>
        <v>ChevillyNon renseignéECS</v>
      </c>
      <c r="C3063" s="148" t="s">
        <v>429</v>
      </c>
      <c r="D3063" s="148" t="s">
        <v>696</v>
      </c>
      <c r="E3063" s="148">
        <v>0</v>
      </c>
      <c r="F3063" s="148" t="s">
        <v>37</v>
      </c>
    </row>
    <row r="3064" spans="1:6" ht="15.75">
      <c r="A3064" t="str">
        <f t="shared" si="47"/>
        <v>ChevillyPACECS</v>
      </c>
      <c r="C3064" s="148" t="s">
        <v>429</v>
      </c>
      <c r="D3064" s="148" t="s">
        <v>69</v>
      </c>
      <c r="E3064" s="148">
        <v>14185.979933119999</v>
      </c>
      <c r="F3064" s="148" t="s">
        <v>37</v>
      </c>
    </row>
    <row r="3065" spans="1:6" ht="15.75">
      <c r="A3065" t="str">
        <f t="shared" si="47"/>
        <v>ChevillySolaireECS</v>
      </c>
      <c r="C3065" s="148" t="s">
        <v>429</v>
      </c>
      <c r="D3065" s="148" t="s">
        <v>240</v>
      </c>
      <c r="E3065" s="148">
        <v>67907.7</v>
      </c>
      <c r="F3065" s="148" t="s">
        <v>37</v>
      </c>
    </row>
    <row r="3066" spans="1:6" ht="15.75">
      <c r="A3066" t="str">
        <f t="shared" si="47"/>
        <v>ChevrouxBoisECS</v>
      </c>
      <c r="C3066" s="148" t="s">
        <v>430</v>
      </c>
      <c r="D3066" s="148" t="s">
        <v>66</v>
      </c>
      <c r="E3066" s="148">
        <v>27588.015686270002</v>
      </c>
      <c r="F3066" s="148" t="s">
        <v>37</v>
      </c>
    </row>
    <row r="3067" spans="1:6" ht="15.75">
      <c r="A3067" t="str">
        <f t="shared" si="47"/>
        <v>ChevrouxElectricitéECS</v>
      </c>
      <c r="C3067" s="148" t="s">
        <v>430</v>
      </c>
      <c r="D3067" s="148" t="s">
        <v>97</v>
      </c>
      <c r="E3067" s="148">
        <v>292833.33333331015</v>
      </c>
      <c r="F3067" s="148" t="s">
        <v>37</v>
      </c>
    </row>
    <row r="3068" spans="1:6" ht="15.75">
      <c r="A3068" t="str">
        <f t="shared" si="47"/>
        <v>ChevrouxGazECS</v>
      </c>
      <c r="C3068" s="148" t="s">
        <v>430</v>
      </c>
      <c r="D3068" s="148" t="s">
        <v>239</v>
      </c>
      <c r="E3068" s="148">
        <v>14355.764705879999</v>
      </c>
      <c r="F3068" s="148" t="s">
        <v>37</v>
      </c>
    </row>
    <row r="3069" spans="1:6" ht="15.75">
      <c r="A3069" t="str">
        <f t="shared" si="47"/>
        <v>ChevrouxMazoutECS</v>
      </c>
      <c r="C3069" s="148" t="s">
        <v>430</v>
      </c>
      <c r="D3069" s="148" t="s">
        <v>70</v>
      </c>
      <c r="E3069" s="148">
        <v>415602.35294117004</v>
      </c>
      <c r="F3069" s="148" t="s">
        <v>37</v>
      </c>
    </row>
    <row r="3070" spans="1:6" ht="15.75">
      <c r="A3070" t="str">
        <f t="shared" si="47"/>
        <v>ChevrouxNon renseignéECS</v>
      </c>
      <c r="C3070" s="148" t="s">
        <v>430</v>
      </c>
      <c r="D3070" s="148" t="s">
        <v>696</v>
      </c>
      <c r="E3070" s="148">
        <v>0</v>
      </c>
      <c r="F3070" s="148" t="s">
        <v>37</v>
      </c>
    </row>
    <row r="3071" spans="1:6" ht="15.75">
      <c r="A3071" t="str">
        <f t="shared" si="47"/>
        <v>ChevrouxPACECS</v>
      </c>
      <c r="C3071" s="148" t="s">
        <v>430</v>
      </c>
      <c r="D3071" s="148" t="s">
        <v>69</v>
      </c>
      <c r="E3071" s="148">
        <v>23153.710888140002</v>
      </c>
      <c r="F3071" s="148" t="s">
        <v>37</v>
      </c>
    </row>
    <row r="3072" spans="1:6" ht="15.75">
      <c r="A3072" t="str">
        <f t="shared" si="47"/>
        <v>ChevrouxAutre agent énergétiqueECS</v>
      </c>
      <c r="C3072" s="148" t="s">
        <v>430</v>
      </c>
      <c r="D3072" s="148" t="s">
        <v>245</v>
      </c>
      <c r="E3072" s="148">
        <v>2332.2352941200002</v>
      </c>
      <c r="F3072" s="148" t="s">
        <v>37</v>
      </c>
    </row>
    <row r="3073" spans="1:6" ht="15.75">
      <c r="A3073" t="str">
        <f t="shared" si="47"/>
        <v>ChevrouxSolaireECS</v>
      </c>
      <c r="C3073" s="148" t="s">
        <v>430</v>
      </c>
      <c r="D3073" s="148" t="s">
        <v>240</v>
      </c>
      <c r="E3073" s="148">
        <v>123672.91999999998</v>
      </c>
      <c r="F3073" s="148" t="s">
        <v>37</v>
      </c>
    </row>
    <row r="3074" spans="1:6" ht="15.75">
      <c r="A3074" t="str">
        <f t="shared" si="47"/>
        <v>ChexbresBoisECS</v>
      </c>
      <c r="C3074" s="148" t="s">
        <v>431</v>
      </c>
      <c r="D3074" s="148" t="s">
        <v>66</v>
      </c>
      <c r="E3074" s="148">
        <v>136531.95294117997</v>
      </c>
      <c r="F3074" s="148" t="s">
        <v>37</v>
      </c>
    </row>
    <row r="3075" spans="1:6" ht="15.75">
      <c r="A3075" t="str">
        <f t="shared" si="47"/>
        <v>ChexbresElectricitéECS</v>
      </c>
      <c r="C3075" s="148" t="s">
        <v>431</v>
      </c>
      <c r="D3075" s="148" t="s">
        <v>97</v>
      </c>
      <c r="E3075" s="148">
        <v>227750.44444441999</v>
      </c>
      <c r="F3075" s="148" t="s">
        <v>37</v>
      </c>
    </row>
    <row r="3076" spans="1:6" ht="15.75">
      <c r="A3076" t="str">
        <f t="shared" si="47"/>
        <v>ChexbresGazECS</v>
      </c>
      <c r="C3076" s="148" t="s">
        <v>431</v>
      </c>
      <c r="D3076" s="148" t="s">
        <v>239</v>
      </c>
      <c r="E3076" s="148">
        <v>1743979.0117647615</v>
      </c>
      <c r="F3076" s="148" t="s">
        <v>37</v>
      </c>
    </row>
    <row r="3077" spans="1:6" ht="15.75">
      <c r="A3077" t="str">
        <f t="shared" si="47"/>
        <v>ChexbresMazoutECS</v>
      </c>
      <c r="C3077" s="148" t="s">
        <v>431</v>
      </c>
      <c r="D3077" s="148" t="s">
        <v>70</v>
      </c>
      <c r="E3077" s="148">
        <v>1072180.2823529199</v>
      </c>
      <c r="F3077" s="148" t="s">
        <v>37</v>
      </c>
    </row>
    <row r="3078" spans="1:6" ht="15.75">
      <c r="A3078" t="str">
        <f t="shared" si="47"/>
        <v>ChexbresNon renseignéECS</v>
      </c>
      <c r="C3078" s="148" t="s">
        <v>431</v>
      </c>
      <c r="D3078" s="148" t="s">
        <v>696</v>
      </c>
      <c r="E3078" s="148">
        <v>0</v>
      </c>
      <c r="F3078" s="148" t="s">
        <v>37</v>
      </c>
    </row>
    <row r="3079" spans="1:6" ht="15.75">
      <c r="A3079" t="str">
        <f t="shared" si="47"/>
        <v>ChexbresPACECS</v>
      </c>
      <c r="C3079" s="148" t="s">
        <v>431</v>
      </c>
      <c r="D3079" s="148" t="s">
        <v>69</v>
      </c>
      <c r="E3079" s="148">
        <v>33349.139873640001</v>
      </c>
      <c r="F3079" s="148" t="s">
        <v>37</v>
      </c>
    </row>
    <row r="3080" spans="1:6" ht="15.75">
      <c r="A3080" t="str">
        <f t="shared" si="47"/>
        <v>ChexbresSolaireECS</v>
      </c>
      <c r="C3080" s="148" t="s">
        <v>431</v>
      </c>
      <c r="D3080" s="148" t="s">
        <v>240</v>
      </c>
      <c r="E3080" s="148">
        <v>79389.8</v>
      </c>
      <c r="F3080" s="148" t="s">
        <v>37</v>
      </c>
    </row>
    <row r="3081" spans="1:6" ht="15.75">
      <c r="A3081" t="str">
        <f t="shared" si="47"/>
        <v>ChexbresAutre agent énergétiqueECS</v>
      </c>
      <c r="C3081" s="148" t="s">
        <v>431</v>
      </c>
      <c r="D3081" s="148" t="s">
        <v>245</v>
      </c>
      <c r="E3081" s="148">
        <v>1264.9411764700001</v>
      </c>
      <c r="F3081" s="148" t="s">
        <v>37</v>
      </c>
    </row>
    <row r="3082" spans="1:6" ht="15.75">
      <c r="A3082" t="str">
        <f t="shared" si="47"/>
        <v>ChignyBoisECS</v>
      </c>
      <c r="C3082" s="148" t="s">
        <v>432</v>
      </c>
      <c r="D3082" s="148" t="s">
        <v>66</v>
      </c>
      <c r="E3082" s="148" t="e">
        <v>#N/A</v>
      </c>
      <c r="F3082" s="148" t="s">
        <v>37</v>
      </c>
    </row>
    <row r="3083" spans="1:6" ht="15.75">
      <c r="A3083" t="str">
        <f t="shared" ref="A3083:A3146" si="48">_xlfn.CONCAT(C3083,D3083,F3083)</f>
        <v>ChignyElectricitéECS</v>
      </c>
      <c r="C3083" s="148" t="s">
        <v>432</v>
      </c>
      <c r="D3083" s="148" t="s">
        <v>97</v>
      </c>
      <c r="E3083" s="148">
        <v>157697.55555554002</v>
      </c>
      <c r="F3083" s="148" t="s">
        <v>37</v>
      </c>
    </row>
    <row r="3084" spans="1:6" ht="15.75">
      <c r="A3084" t="str">
        <f t="shared" si="48"/>
        <v>ChignyGazECS</v>
      </c>
      <c r="C3084" s="148" t="s">
        <v>432</v>
      </c>
      <c r="D3084" s="148" t="s">
        <v>239</v>
      </c>
      <c r="E3084" s="148">
        <v>65507.468030740005</v>
      </c>
      <c r="F3084" s="148" t="s">
        <v>37</v>
      </c>
    </row>
    <row r="3085" spans="1:6" ht="15.75">
      <c r="A3085" t="str">
        <f t="shared" si="48"/>
        <v>ChignyMazoutECS</v>
      </c>
      <c r="C3085" s="148" t="s">
        <v>432</v>
      </c>
      <c r="D3085" s="148" t="s">
        <v>70</v>
      </c>
      <c r="E3085" s="148">
        <v>206096.47058823003</v>
      </c>
      <c r="F3085" s="148" t="s">
        <v>37</v>
      </c>
    </row>
    <row r="3086" spans="1:6" ht="15.75">
      <c r="A3086" t="str">
        <f t="shared" si="48"/>
        <v>ChignyNon renseignéECS</v>
      </c>
      <c r="C3086" s="148" t="s">
        <v>432</v>
      </c>
      <c r="D3086" s="148" t="s">
        <v>696</v>
      </c>
      <c r="E3086" s="148">
        <v>0</v>
      </c>
      <c r="F3086" s="148" t="s">
        <v>37</v>
      </c>
    </row>
    <row r="3087" spans="1:6" ht="15.75">
      <c r="A3087" t="str">
        <f t="shared" si="48"/>
        <v>ChignyPACECS</v>
      </c>
      <c r="C3087" s="148" t="s">
        <v>432</v>
      </c>
      <c r="D3087" s="148" t="s">
        <v>69</v>
      </c>
      <c r="E3087" s="148">
        <v>18457.50427351</v>
      </c>
      <c r="F3087" s="148" t="s">
        <v>37</v>
      </c>
    </row>
    <row r="3088" spans="1:6" ht="15.75">
      <c r="A3088" t="str">
        <f t="shared" si="48"/>
        <v>ChignySolaireECS</v>
      </c>
      <c r="C3088" s="148" t="s">
        <v>432</v>
      </c>
      <c r="D3088" s="148" t="s">
        <v>240</v>
      </c>
      <c r="E3088" s="148">
        <v>39512.9</v>
      </c>
      <c r="F3088" s="148" t="s">
        <v>37</v>
      </c>
    </row>
    <row r="3089" spans="1:6" ht="15.75">
      <c r="A3089" t="str">
        <f t="shared" si="48"/>
        <v>ClarmontBoisECS</v>
      </c>
      <c r="C3089" s="148" t="s">
        <v>238</v>
      </c>
      <c r="D3089" s="148" t="s">
        <v>66</v>
      </c>
      <c r="E3089" s="148">
        <v>101861.23103152998</v>
      </c>
      <c r="F3089" s="148" t="s">
        <v>37</v>
      </c>
    </row>
    <row r="3090" spans="1:6" ht="15.75">
      <c r="A3090" t="str">
        <f t="shared" si="48"/>
        <v>ClarmontElectricitéECS</v>
      </c>
      <c r="C3090" s="148" t="s">
        <v>238</v>
      </c>
      <c r="D3090" s="148" t="s">
        <v>97</v>
      </c>
      <c r="E3090" s="148">
        <v>23799.999999989999</v>
      </c>
      <c r="F3090" s="148" t="s">
        <v>37</v>
      </c>
    </row>
    <row r="3091" spans="1:6" ht="15.75">
      <c r="A3091" t="str">
        <f t="shared" si="48"/>
        <v>ClarmontGazECS</v>
      </c>
      <c r="C3091" s="148" t="s">
        <v>238</v>
      </c>
      <c r="D3091" s="148" t="s">
        <v>239</v>
      </c>
      <c r="E3091" s="148">
        <v>39963.930946290006</v>
      </c>
      <c r="F3091" s="148" t="s">
        <v>37</v>
      </c>
    </row>
    <row r="3092" spans="1:6" ht="15.75">
      <c r="A3092" t="str">
        <f t="shared" si="48"/>
        <v>ClarmontMazoutECS</v>
      </c>
      <c r="C3092" s="148" t="s">
        <v>238</v>
      </c>
      <c r="D3092" s="148" t="s">
        <v>70</v>
      </c>
      <c r="E3092" s="148">
        <v>116064.28235293001</v>
      </c>
      <c r="F3092" s="148" t="s">
        <v>37</v>
      </c>
    </row>
    <row r="3093" spans="1:6" ht="15.75">
      <c r="A3093" t="str">
        <f t="shared" si="48"/>
        <v>ClarmontNon renseignéECS</v>
      </c>
      <c r="C3093" s="148" t="s">
        <v>238</v>
      </c>
      <c r="D3093" s="148" t="s">
        <v>696</v>
      </c>
      <c r="E3093" s="148" t="e">
        <v>#N/A</v>
      </c>
      <c r="F3093" s="148" t="s">
        <v>37</v>
      </c>
    </row>
    <row r="3094" spans="1:6" ht="15.75">
      <c r="A3094" t="str">
        <f t="shared" si="48"/>
        <v>ClarmontPACECS</v>
      </c>
      <c r="C3094" s="148" t="s">
        <v>238</v>
      </c>
      <c r="D3094" s="148" t="s">
        <v>69</v>
      </c>
      <c r="E3094" s="148">
        <v>1318.1538461499999</v>
      </c>
      <c r="F3094" s="148" t="s">
        <v>37</v>
      </c>
    </row>
    <row r="3095" spans="1:6" ht="15.75">
      <c r="A3095" t="str">
        <f t="shared" si="48"/>
        <v>ClarmontSolaireECS</v>
      </c>
      <c r="C3095" s="148" t="s">
        <v>238</v>
      </c>
      <c r="D3095" s="148" t="s">
        <v>240</v>
      </c>
      <c r="E3095" s="148">
        <v>40857.599999999999</v>
      </c>
      <c r="F3095" s="148" t="s">
        <v>37</v>
      </c>
    </row>
    <row r="3096" spans="1:6" ht="15.75">
      <c r="A3096" t="str">
        <f t="shared" si="48"/>
        <v>CoinsinsBoisECS</v>
      </c>
      <c r="C3096" s="148" t="s">
        <v>433</v>
      </c>
      <c r="D3096" s="148" t="s">
        <v>66</v>
      </c>
      <c r="E3096" s="148">
        <v>120730.40000000001</v>
      </c>
      <c r="F3096" s="148" t="s">
        <v>37</v>
      </c>
    </row>
    <row r="3097" spans="1:6" ht="15.75">
      <c r="A3097" t="str">
        <f t="shared" si="48"/>
        <v>CoinsinsElectricitéECS</v>
      </c>
      <c r="C3097" s="148" t="s">
        <v>433</v>
      </c>
      <c r="D3097" s="148" t="s">
        <v>97</v>
      </c>
      <c r="E3097" s="148">
        <v>201526.88888886993</v>
      </c>
      <c r="F3097" s="148" t="s">
        <v>37</v>
      </c>
    </row>
    <row r="3098" spans="1:6" ht="15.75">
      <c r="A3098" t="str">
        <f t="shared" si="48"/>
        <v>CoinsinsMazoutECS</v>
      </c>
      <c r="C3098" s="148" t="s">
        <v>433</v>
      </c>
      <c r="D3098" s="148" t="s">
        <v>70</v>
      </c>
      <c r="E3098" s="148">
        <v>393549.88235297002</v>
      </c>
      <c r="F3098" s="148" t="s">
        <v>37</v>
      </c>
    </row>
    <row r="3099" spans="1:6" ht="15.75">
      <c r="A3099" t="str">
        <f t="shared" si="48"/>
        <v>CoinsinsNon renseignéECS</v>
      </c>
      <c r="C3099" s="148" t="s">
        <v>433</v>
      </c>
      <c r="D3099" s="148" t="s">
        <v>696</v>
      </c>
      <c r="E3099" s="148">
        <v>0</v>
      </c>
      <c r="F3099" s="148" t="s">
        <v>37</v>
      </c>
    </row>
    <row r="3100" spans="1:6" ht="15.75">
      <c r="A3100" t="str">
        <f t="shared" si="48"/>
        <v>CoinsinsPACECS</v>
      </c>
      <c r="C3100" s="148" t="s">
        <v>433</v>
      </c>
      <c r="D3100" s="148" t="s">
        <v>69</v>
      </c>
      <c r="E3100" s="148">
        <v>20154.615384600002</v>
      </c>
      <c r="F3100" s="148" t="s">
        <v>37</v>
      </c>
    </row>
    <row r="3101" spans="1:6" ht="15.75">
      <c r="A3101" t="str">
        <f t="shared" si="48"/>
        <v>CoinsinsGazECS</v>
      </c>
      <c r="C3101" s="148" t="s">
        <v>433</v>
      </c>
      <c r="D3101" s="148" t="s">
        <v>239</v>
      </c>
      <c r="E3101" s="148">
        <v>133.08235293999999</v>
      </c>
      <c r="F3101" s="148" t="s">
        <v>37</v>
      </c>
    </row>
    <row r="3102" spans="1:6" ht="15.75">
      <c r="A3102" t="str">
        <f t="shared" si="48"/>
        <v>CoinsinsSolaireECS</v>
      </c>
      <c r="C3102" s="148" t="s">
        <v>433</v>
      </c>
      <c r="D3102" s="148" t="s">
        <v>240</v>
      </c>
      <c r="E3102" s="148">
        <v>26835.199999999997</v>
      </c>
      <c r="F3102" s="148" t="s">
        <v>37</v>
      </c>
    </row>
    <row r="3103" spans="1:6" ht="15.75">
      <c r="A3103" t="str">
        <f t="shared" si="48"/>
        <v>CommugnyAutre agent énergétiqueECS</v>
      </c>
      <c r="C3103" s="148" t="s">
        <v>434</v>
      </c>
      <c r="D3103" s="148" t="s">
        <v>245</v>
      </c>
      <c r="E3103" s="148">
        <v>21121.88235294</v>
      </c>
      <c r="F3103" s="148" t="s">
        <v>37</v>
      </c>
    </row>
    <row r="3104" spans="1:6" ht="15.75">
      <c r="A3104" t="str">
        <f t="shared" si="48"/>
        <v>CommugnyBoisECS</v>
      </c>
      <c r="C3104" s="148" t="s">
        <v>434</v>
      </c>
      <c r="D3104" s="148" t="s">
        <v>66</v>
      </c>
      <c r="E3104" s="148">
        <v>76886.901960789997</v>
      </c>
      <c r="F3104" s="148" t="s">
        <v>37</v>
      </c>
    </row>
    <row r="3105" spans="1:6" ht="15.75">
      <c r="A3105" t="str">
        <f t="shared" si="48"/>
        <v>CommugnyCADECS</v>
      </c>
      <c r="C3105" s="148" t="s">
        <v>434</v>
      </c>
      <c r="D3105" s="148" t="s">
        <v>242</v>
      </c>
      <c r="E3105" s="148">
        <v>2443</v>
      </c>
      <c r="F3105" s="148" t="s">
        <v>37</v>
      </c>
    </row>
    <row r="3106" spans="1:6" ht="15.75">
      <c r="A3106" t="str">
        <f t="shared" si="48"/>
        <v>CommugnyElectricitéECS</v>
      </c>
      <c r="C3106" s="148" t="s">
        <v>434</v>
      </c>
      <c r="D3106" s="148" t="s">
        <v>97</v>
      </c>
      <c r="E3106" s="148">
        <v>1065596.0000001199</v>
      </c>
      <c r="F3106" s="148" t="s">
        <v>37</v>
      </c>
    </row>
    <row r="3107" spans="1:6" ht="15.75">
      <c r="A3107" t="str">
        <f t="shared" si="48"/>
        <v>CommugnyGazECS</v>
      </c>
      <c r="C3107" s="148" t="s">
        <v>434</v>
      </c>
      <c r="D3107" s="148" t="s">
        <v>239</v>
      </c>
      <c r="E3107" s="148">
        <v>89268.905370850014</v>
      </c>
      <c r="F3107" s="148" t="s">
        <v>37</v>
      </c>
    </row>
    <row r="3108" spans="1:6" ht="15.75">
      <c r="A3108" t="str">
        <f t="shared" si="48"/>
        <v>CommugnyMazoutECS</v>
      </c>
      <c r="C3108" s="148" t="s">
        <v>434</v>
      </c>
      <c r="D3108" s="148" t="s">
        <v>70</v>
      </c>
      <c r="E3108" s="148">
        <v>1887102.9133689012</v>
      </c>
      <c r="F3108" s="148" t="s">
        <v>37</v>
      </c>
    </row>
    <row r="3109" spans="1:6" ht="15.75">
      <c r="A3109" t="str">
        <f t="shared" si="48"/>
        <v>CommugnyNon renseignéECS</v>
      </c>
      <c r="C3109" s="148" t="s">
        <v>434</v>
      </c>
      <c r="D3109" s="148" t="s">
        <v>696</v>
      </c>
      <c r="E3109" s="148">
        <v>0</v>
      </c>
      <c r="F3109" s="148" t="s">
        <v>37</v>
      </c>
    </row>
    <row r="3110" spans="1:6" ht="15.75">
      <c r="A3110" t="str">
        <f t="shared" si="48"/>
        <v>CommugnyPACECS</v>
      </c>
      <c r="C3110" s="148" t="s">
        <v>434</v>
      </c>
      <c r="D3110" s="148" t="s">
        <v>69</v>
      </c>
      <c r="E3110" s="148">
        <v>104553.61278329998</v>
      </c>
      <c r="F3110" s="148" t="s">
        <v>37</v>
      </c>
    </row>
    <row r="3111" spans="1:6" ht="15.75">
      <c r="A3111" t="str">
        <f t="shared" si="48"/>
        <v>CommugnySolaireECS</v>
      </c>
      <c r="C3111" s="148" t="s">
        <v>434</v>
      </c>
      <c r="D3111" s="148" t="s">
        <v>240</v>
      </c>
      <c r="E3111" s="148">
        <v>314796.15999999997</v>
      </c>
      <c r="F3111" s="148" t="s">
        <v>37</v>
      </c>
    </row>
    <row r="3112" spans="1:6" ht="15.75">
      <c r="A3112" t="str">
        <f t="shared" si="48"/>
        <v>ConciseAutre agent énergétiqueECS</v>
      </c>
      <c r="C3112" s="148" t="s">
        <v>435</v>
      </c>
      <c r="D3112" s="148" t="s">
        <v>245</v>
      </c>
      <c r="E3112" s="148">
        <v>0</v>
      </c>
      <c r="F3112" s="148" t="s">
        <v>37</v>
      </c>
    </row>
    <row r="3113" spans="1:6" ht="15.75">
      <c r="A3113" t="str">
        <f t="shared" si="48"/>
        <v>ConciseBoisECS</v>
      </c>
      <c r="C3113" s="148" t="s">
        <v>435</v>
      </c>
      <c r="D3113" s="148" t="s">
        <v>66</v>
      </c>
      <c r="E3113" s="148">
        <v>184142.80156860998</v>
      </c>
      <c r="F3113" s="148" t="s">
        <v>37</v>
      </c>
    </row>
    <row r="3114" spans="1:6" ht="15.75">
      <c r="A3114" t="str">
        <f t="shared" si="48"/>
        <v>ConciseCADECS</v>
      </c>
      <c r="C3114" s="148" t="s">
        <v>435</v>
      </c>
      <c r="D3114" s="148" t="s">
        <v>242</v>
      </c>
      <c r="E3114" s="148">
        <v>54833.8</v>
      </c>
      <c r="F3114" s="148" t="s">
        <v>37</v>
      </c>
    </row>
    <row r="3115" spans="1:6" ht="15.75">
      <c r="A3115" t="str">
        <f t="shared" si="48"/>
        <v>ConciseElectricitéECS</v>
      </c>
      <c r="C3115" s="148" t="s">
        <v>435</v>
      </c>
      <c r="D3115" s="148" t="s">
        <v>97</v>
      </c>
      <c r="E3115" s="148">
        <v>405694.48888894019</v>
      </c>
      <c r="F3115" s="148" t="s">
        <v>37</v>
      </c>
    </row>
    <row r="3116" spans="1:6" ht="15.75">
      <c r="A3116" t="str">
        <f t="shared" si="48"/>
        <v>ConciseGazECS</v>
      </c>
      <c r="C3116" s="148" t="s">
        <v>435</v>
      </c>
      <c r="D3116" s="148" t="s">
        <v>239</v>
      </c>
      <c r="E3116" s="148">
        <v>62722.936061399996</v>
      </c>
      <c r="F3116" s="148" t="s">
        <v>37</v>
      </c>
    </row>
    <row r="3117" spans="1:6" ht="15.75">
      <c r="A3117" t="str">
        <f t="shared" si="48"/>
        <v>ConciseMazoutECS</v>
      </c>
      <c r="C3117" s="148" t="s">
        <v>435</v>
      </c>
      <c r="D3117" s="148" t="s">
        <v>70</v>
      </c>
      <c r="E3117" s="148">
        <v>801350.89251342975</v>
      </c>
      <c r="F3117" s="148" t="s">
        <v>37</v>
      </c>
    </row>
    <row r="3118" spans="1:6" ht="15.75">
      <c r="A3118" t="str">
        <f t="shared" si="48"/>
        <v>ConciseNon renseignéECS</v>
      </c>
      <c r="C3118" s="148" t="s">
        <v>435</v>
      </c>
      <c r="D3118" s="148" t="s">
        <v>696</v>
      </c>
      <c r="E3118" s="148" t="e">
        <v>#N/A</v>
      </c>
      <c r="F3118" s="148" t="s">
        <v>37</v>
      </c>
    </row>
    <row r="3119" spans="1:6" ht="15.75">
      <c r="A3119" t="str">
        <f t="shared" si="48"/>
        <v>ConcisePACECS</v>
      </c>
      <c r="C3119" s="148" t="s">
        <v>435</v>
      </c>
      <c r="D3119" s="148" t="s">
        <v>69</v>
      </c>
      <c r="E3119" s="148">
        <v>26268.418679539998</v>
      </c>
      <c r="F3119" s="148" t="s">
        <v>37</v>
      </c>
    </row>
    <row r="3120" spans="1:6" ht="15.75">
      <c r="A3120" t="str">
        <f t="shared" si="48"/>
        <v>ConciseCharbonECS</v>
      </c>
      <c r="C3120" s="148" t="s">
        <v>435</v>
      </c>
      <c r="D3120" s="148" t="s">
        <v>695</v>
      </c>
      <c r="E3120" s="148" t="e">
        <v>#N/A</v>
      </c>
      <c r="F3120" s="148" t="s">
        <v>37</v>
      </c>
    </row>
    <row r="3121" spans="1:6" ht="15.75">
      <c r="A3121" t="str">
        <f t="shared" si="48"/>
        <v>ConciseSolaireECS</v>
      </c>
      <c r="C3121" s="148" t="s">
        <v>435</v>
      </c>
      <c r="D3121" s="148" t="s">
        <v>240</v>
      </c>
      <c r="E3121" s="148">
        <v>74584.159999999989</v>
      </c>
      <c r="F3121" s="148" t="s">
        <v>37</v>
      </c>
    </row>
    <row r="3122" spans="1:6" ht="15.75">
      <c r="A3122" t="str">
        <f t="shared" si="48"/>
        <v>CoppetBoisECS</v>
      </c>
      <c r="C3122" s="148" t="s">
        <v>241</v>
      </c>
      <c r="D3122" s="148" t="s">
        <v>66</v>
      </c>
      <c r="E3122" s="148">
        <v>39339.890196079999</v>
      </c>
      <c r="F3122" s="148" t="s">
        <v>37</v>
      </c>
    </row>
    <row r="3123" spans="1:6" ht="15.75">
      <c r="A3123" t="str">
        <f t="shared" si="48"/>
        <v>CoppetCADECS</v>
      </c>
      <c r="C3123" s="148" t="s">
        <v>241</v>
      </c>
      <c r="D3123" s="148" t="s">
        <v>242</v>
      </c>
      <c r="E3123" s="148">
        <v>150931.20000000001</v>
      </c>
      <c r="F3123" s="148" t="s">
        <v>37</v>
      </c>
    </row>
    <row r="3124" spans="1:6" ht="15.75">
      <c r="A3124" t="str">
        <f t="shared" si="48"/>
        <v>CoppetElectricitéECS</v>
      </c>
      <c r="C3124" s="148" t="s">
        <v>241</v>
      </c>
      <c r="D3124" s="148" t="s">
        <v>97</v>
      </c>
      <c r="E3124" s="148">
        <v>910489.04836599017</v>
      </c>
      <c r="F3124" s="148" t="s">
        <v>37</v>
      </c>
    </row>
    <row r="3125" spans="1:6" ht="15.75">
      <c r="A3125" t="str">
        <f t="shared" si="48"/>
        <v>CoppetGazECS</v>
      </c>
      <c r="C3125" s="148" t="s">
        <v>241</v>
      </c>
      <c r="D3125" s="148" t="s">
        <v>239</v>
      </c>
      <c r="E3125" s="148">
        <v>121457.37595908999</v>
      </c>
      <c r="F3125" s="148" t="s">
        <v>37</v>
      </c>
    </row>
    <row r="3126" spans="1:6" ht="15.75">
      <c r="A3126" t="str">
        <f t="shared" si="48"/>
        <v>CoppetMazoutECS</v>
      </c>
      <c r="C3126" s="148" t="s">
        <v>241</v>
      </c>
      <c r="D3126" s="148" t="s">
        <v>70</v>
      </c>
      <c r="E3126" s="148">
        <v>3261589.7625669101</v>
      </c>
      <c r="F3126" s="148" t="s">
        <v>37</v>
      </c>
    </row>
    <row r="3127" spans="1:6" ht="15.75">
      <c r="A3127" t="str">
        <f t="shared" si="48"/>
        <v>CoppetNon renseignéECS</v>
      </c>
      <c r="C3127" s="148" t="s">
        <v>241</v>
      </c>
      <c r="D3127" s="148" t="s">
        <v>696</v>
      </c>
      <c r="E3127" s="148">
        <v>0</v>
      </c>
      <c r="F3127" s="148" t="s">
        <v>37</v>
      </c>
    </row>
    <row r="3128" spans="1:6" ht="15.75">
      <c r="A3128" t="str">
        <f t="shared" si="48"/>
        <v>CoppetPACECS</v>
      </c>
      <c r="C3128" s="148" t="s">
        <v>241</v>
      </c>
      <c r="D3128" s="148" t="s">
        <v>69</v>
      </c>
      <c r="E3128" s="148">
        <v>91509.524216510006</v>
      </c>
      <c r="F3128" s="148" t="s">
        <v>37</v>
      </c>
    </row>
    <row r="3129" spans="1:6" ht="15.75">
      <c r="A3129" t="str">
        <f t="shared" si="48"/>
        <v>CoppetSolaireECS</v>
      </c>
      <c r="C3129" s="148" t="s">
        <v>241</v>
      </c>
      <c r="D3129" s="148" t="s">
        <v>240</v>
      </c>
      <c r="E3129" s="148">
        <v>199341.79999999993</v>
      </c>
      <c r="F3129" s="148" t="s">
        <v>37</v>
      </c>
    </row>
    <row r="3130" spans="1:6" ht="15.75">
      <c r="A3130" t="str">
        <f t="shared" si="48"/>
        <v>CorbeyrierBoisECS</v>
      </c>
      <c r="C3130" s="148" t="s">
        <v>436</v>
      </c>
      <c r="D3130" s="148" t="s">
        <v>66</v>
      </c>
      <c r="E3130" s="148">
        <v>117413.55294117004</v>
      </c>
      <c r="F3130" s="148" t="s">
        <v>37</v>
      </c>
    </row>
    <row r="3131" spans="1:6" ht="15.75">
      <c r="A3131" t="str">
        <f t="shared" si="48"/>
        <v>CorbeyrierElectricitéECS</v>
      </c>
      <c r="C3131" s="148" t="s">
        <v>436</v>
      </c>
      <c r="D3131" s="148" t="s">
        <v>97</v>
      </c>
      <c r="E3131" s="148">
        <v>234453.64444450001</v>
      </c>
      <c r="F3131" s="148" t="s">
        <v>37</v>
      </c>
    </row>
    <row r="3132" spans="1:6" ht="15.75">
      <c r="A3132" t="str">
        <f t="shared" si="48"/>
        <v>CorbeyrierGazECS</v>
      </c>
      <c r="C3132" s="148" t="s">
        <v>436</v>
      </c>
      <c r="D3132" s="148" t="s">
        <v>239</v>
      </c>
      <c r="E3132" s="148">
        <v>7905.8823529399997</v>
      </c>
      <c r="F3132" s="148" t="s">
        <v>37</v>
      </c>
    </row>
    <row r="3133" spans="1:6" ht="15.75">
      <c r="A3133" t="str">
        <f t="shared" si="48"/>
        <v>CorbeyrierMazoutECS</v>
      </c>
      <c r="C3133" s="148" t="s">
        <v>436</v>
      </c>
      <c r="D3133" s="148" t="s">
        <v>70</v>
      </c>
      <c r="E3133" s="148">
        <v>374490.1176470599</v>
      </c>
      <c r="F3133" s="148" t="s">
        <v>37</v>
      </c>
    </row>
    <row r="3134" spans="1:6" ht="15.75">
      <c r="A3134" t="str">
        <f t="shared" si="48"/>
        <v>CorbeyrierNon renseignéECS</v>
      </c>
      <c r="C3134" s="148" t="s">
        <v>436</v>
      </c>
      <c r="D3134" s="148" t="s">
        <v>696</v>
      </c>
      <c r="E3134" s="148">
        <v>0</v>
      </c>
      <c r="F3134" s="148" t="s">
        <v>37</v>
      </c>
    </row>
    <row r="3135" spans="1:6" ht="15.75">
      <c r="A3135" t="str">
        <f t="shared" si="48"/>
        <v>CorbeyrierPACECS</v>
      </c>
      <c r="C3135" s="148" t="s">
        <v>436</v>
      </c>
      <c r="D3135" s="148" t="s">
        <v>69</v>
      </c>
      <c r="E3135" s="148">
        <v>7523.5719063600009</v>
      </c>
      <c r="F3135" s="148" t="s">
        <v>37</v>
      </c>
    </row>
    <row r="3136" spans="1:6" ht="15.75">
      <c r="A3136" t="str">
        <f t="shared" si="48"/>
        <v>CorbeyrierSolaireECS</v>
      </c>
      <c r="C3136" s="148" t="s">
        <v>436</v>
      </c>
      <c r="D3136" s="148" t="s">
        <v>240</v>
      </c>
      <c r="E3136" s="148">
        <v>41466.6</v>
      </c>
      <c r="F3136" s="148" t="s">
        <v>37</v>
      </c>
    </row>
    <row r="3137" spans="1:6" ht="15.75">
      <c r="A3137" t="str">
        <f t="shared" si="48"/>
        <v>Corcelles-le-JoratBoisECS</v>
      </c>
      <c r="C3137" s="148" t="s">
        <v>653</v>
      </c>
      <c r="D3137" s="148" t="s">
        <v>66</v>
      </c>
      <c r="E3137" s="148">
        <v>206704.78431371998</v>
      </c>
      <c r="F3137" s="148" t="s">
        <v>37</v>
      </c>
    </row>
    <row r="3138" spans="1:6" ht="15.75">
      <c r="A3138" t="str">
        <f t="shared" si="48"/>
        <v>Corcelles-le-JoratCADECS</v>
      </c>
      <c r="C3138" s="148" t="s">
        <v>653</v>
      </c>
      <c r="D3138" s="148" t="s">
        <v>242</v>
      </c>
      <c r="E3138" s="148">
        <v>11830</v>
      </c>
      <c r="F3138" s="148" t="s">
        <v>37</v>
      </c>
    </row>
    <row r="3139" spans="1:6" ht="15.75">
      <c r="A3139" t="str">
        <f t="shared" si="48"/>
        <v>Corcelles-le-JoratElectricitéECS</v>
      </c>
      <c r="C3139" s="148" t="s">
        <v>653</v>
      </c>
      <c r="D3139" s="148" t="s">
        <v>97</v>
      </c>
      <c r="E3139" s="148">
        <v>296267.37777779001</v>
      </c>
      <c r="F3139" s="148" t="s">
        <v>37</v>
      </c>
    </row>
    <row r="3140" spans="1:6" ht="15.75">
      <c r="A3140" t="str">
        <f t="shared" si="48"/>
        <v>Corcelles-le-JoratGazECS</v>
      </c>
      <c r="C3140" s="148" t="s">
        <v>653</v>
      </c>
      <c r="D3140" s="148" t="s">
        <v>239</v>
      </c>
      <c r="E3140" s="148">
        <v>70472.705882349997</v>
      </c>
      <c r="F3140" s="148" t="s">
        <v>37</v>
      </c>
    </row>
    <row r="3141" spans="1:6" ht="15.75">
      <c r="A3141" t="str">
        <f t="shared" si="48"/>
        <v>Corcelles-le-JoratMazoutECS</v>
      </c>
      <c r="C3141" s="148" t="s">
        <v>653</v>
      </c>
      <c r="D3141" s="148" t="s">
        <v>70</v>
      </c>
      <c r="E3141" s="148">
        <v>454110.58823533001</v>
      </c>
      <c r="F3141" s="148" t="s">
        <v>37</v>
      </c>
    </row>
    <row r="3142" spans="1:6" ht="15.75">
      <c r="A3142" t="str">
        <f t="shared" si="48"/>
        <v>Corcelles-le-JoratNon renseignéECS</v>
      </c>
      <c r="C3142" s="148" t="s">
        <v>653</v>
      </c>
      <c r="D3142" s="148" t="s">
        <v>696</v>
      </c>
      <c r="E3142" s="148">
        <v>0</v>
      </c>
      <c r="F3142" s="148" t="s">
        <v>37</v>
      </c>
    </row>
    <row r="3143" spans="1:6" ht="15.75">
      <c r="A3143" t="str">
        <f t="shared" si="48"/>
        <v>Corcelles-le-JoratPACECS</v>
      </c>
      <c r="C3143" s="148" t="s">
        <v>653</v>
      </c>
      <c r="D3143" s="148" t="s">
        <v>69</v>
      </c>
      <c r="E3143" s="148">
        <v>24083.21906354</v>
      </c>
      <c r="F3143" s="148" t="s">
        <v>37</v>
      </c>
    </row>
    <row r="3144" spans="1:6" ht="15.75">
      <c r="A3144" t="str">
        <f t="shared" si="48"/>
        <v>Corcelles-le-JoratSolaireECS</v>
      </c>
      <c r="C3144" s="148" t="s">
        <v>653</v>
      </c>
      <c r="D3144" s="148" t="s">
        <v>240</v>
      </c>
      <c r="E3144" s="148">
        <v>65230.200000000004</v>
      </c>
      <c r="F3144" s="148" t="s">
        <v>37</v>
      </c>
    </row>
    <row r="3145" spans="1:6" ht="15.75">
      <c r="A3145" t="str">
        <f t="shared" si="48"/>
        <v>Corcelles-près-ConciseAutre agent énergétiqueECS</v>
      </c>
      <c r="C3145" s="148" t="s">
        <v>652</v>
      </c>
      <c r="D3145" s="148" t="s">
        <v>245</v>
      </c>
      <c r="E3145" s="148">
        <v>3386.35294118</v>
      </c>
      <c r="F3145" s="148" t="s">
        <v>37</v>
      </c>
    </row>
    <row r="3146" spans="1:6" ht="15.75">
      <c r="A3146" t="str">
        <f t="shared" si="48"/>
        <v>Corcelles-près-ConciseBoisECS</v>
      </c>
      <c r="C3146" s="148" t="s">
        <v>652</v>
      </c>
      <c r="D3146" s="148" t="s">
        <v>66</v>
      </c>
      <c r="E3146" s="148">
        <v>154827.70196079</v>
      </c>
      <c r="F3146" s="148" t="s">
        <v>37</v>
      </c>
    </row>
    <row r="3147" spans="1:6" ht="15.75">
      <c r="A3147" t="str">
        <f t="shared" ref="A3147:A3210" si="49">_xlfn.CONCAT(C3147,D3147,F3147)</f>
        <v>Corcelles-près-ConciseCADECS</v>
      </c>
      <c r="C3147" s="148" t="s">
        <v>652</v>
      </c>
      <c r="D3147" s="148" t="s">
        <v>242</v>
      </c>
      <c r="E3147" s="148" t="e">
        <v>#N/A</v>
      </c>
      <c r="F3147" s="148" t="s">
        <v>37</v>
      </c>
    </row>
    <row r="3148" spans="1:6" ht="15.75">
      <c r="A3148" t="str">
        <f t="shared" si="49"/>
        <v>Corcelles-près-ConciseElectricitéECS</v>
      </c>
      <c r="C3148" s="148" t="s">
        <v>652</v>
      </c>
      <c r="D3148" s="148" t="s">
        <v>97</v>
      </c>
      <c r="E3148" s="148">
        <v>247423.55555557998</v>
      </c>
      <c r="F3148" s="148" t="s">
        <v>37</v>
      </c>
    </row>
    <row r="3149" spans="1:6" ht="15.75">
      <c r="A3149" t="str">
        <f t="shared" si="49"/>
        <v>Corcelles-près-ConciseGazECS</v>
      </c>
      <c r="C3149" s="148" t="s">
        <v>652</v>
      </c>
      <c r="D3149" s="148" t="s">
        <v>239</v>
      </c>
      <c r="E3149" s="148">
        <v>15617.411764709999</v>
      </c>
      <c r="F3149" s="148" t="s">
        <v>37</v>
      </c>
    </row>
    <row r="3150" spans="1:6" ht="15.75">
      <c r="A3150" t="str">
        <f t="shared" si="49"/>
        <v>Corcelles-près-ConciseMazoutECS</v>
      </c>
      <c r="C3150" s="148" t="s">
        <v>652</v>
      </c>
      <c r="D3150" s="148" t="s">
        <v>70</v>
      </c>
      <c r="E3150" s="148">
        <v>318616.94117648999</v>
      </c>
      <c r="F3150" s="148" t="s">
        <v>37</v>
      </c>
    </row>
    <row r="3151" spans="1:6" ht="15.75">
      <c r="A3151" t="str">
        <f t="shared" si="49"/>
        <v>Corcelles-près-ConciseNon renseignéECS</v>
      </c>
      <c r="C3151" s="148" t="s">
        <v>652</v>
      </c>
      <c r="D3151" s="148" t="s">
        <v>696</v>
      </c>
      <c r="E3151" s="148">
        <v>0</v>
      </c>
      <c r="F3151" s="148" t="s">
        <v>37</v>
      </c>
    </row>
    <row r="3152" spans="1:6" ht="15.75">
      <c r="A3152" t="str">
        <f t="shared" si="49"/>
        <v>Corcelles-près-ConcisePACECS</v>
      </c>
      <c r="C3152" s="148" t="s">
        <v>652</v>
      </c>
      <c r="D3152" s="148" t="s">
        <v>69</v>
      </c>
      <c r="E3152" s="148">
        <v>3097.04347826</v>
      </c>
      <c r="F3152" s="148" t="s">
        <v>37</v>
      </c>
    </row>
    <row r="3153" spans="1:6" ht="15.75">
      <c r="A3153" t="str">
        <f t="shared" si="49"/>
        <v>Corcelles-près-ConciseSolaireECS</v>
      </c>
      <c r="C3153" s="148" t="s">
        <v>652</v>
      </c>
      <c r="D3153" s="148" t="s">
        <v>240</v>
      </c>
      <c r="E3153" s="148">
        <v>35173.599999999999</v>
      </c>
      <c r="F3153" s="148" t="s">
        <v>37</v>
      </c>
    </row>
    <row r="3154" spans="1:6" ht="15.75">
      <c r="A3154" t="str">
        <f t="shared" si="49"/>
        <v>Corcelles-près-PayerneAutre agent énergétiqueECS</v>
      </c>
      <c r="C3154" s="148" t="s">
        <v>683</v>
      </c>
      <c r="D3154" s="148" t="s">
        <v>245</v>
      </c>
      <c r="E3154" s="148">
        <v>70856.470588209995</v>
      </c>
      <c r="F3154" s="148" t="s">
        <v>37</v>
      </c>
    </row>
    <row r="3155" spans="1:6" ht="15.75">
      <c r="A3155" t="str">
        <f t="shared" si="49"/>
        <v>Corcelles-près-PayerneBoisECS</v>
      </c>
      <c r="C3155" s="148" t="s">
        <v>683</v>
      </c>
      <c r="D3155" s="148" t="s">
        <v>66</v>
      </c>
      <c r="E3155" s="148">
        <v>191053.22352941</v>
      </c>
      <c r="F3155" s="148" t="s">
        <v>37</v>
      </c>
    </row>
    <row r="3156" spans="1:6" ht="15.75">
      <c r="A3156" t="str">
        <f t="shared" si="49"/>
        <v>Corcelles-près-PayerneCADECS</v>
      </c>
      <c r="C3156" s="148" t="s">
        <v>683</v>
      </c>
      <c r="D3156" s="148" t="s">
        <v>242</v>
      </c>
      <c r="E3156" s="148">
        <v>638.4</v>
      </c>
      <c r="F3156" s="148" t="s">
        <v>37</v>
      </c>
    </row>
    <row r="3157" spans="1:6" ht="15.75">
      <c r="A3157" t="str">
        <f t="shared" si="49"/>
        <v>Corcelles-près-PayerneElectricitéECS</v>
      </c>
      <c r="C3157" s="148" t="s">
        <v>683</v>
      </c>
      <c r="D3157" s="148" t="s">
        <v>97</v>
      </c>
      <c r="E3157" s="148">
        <v>933524.35555549979</v>
      </c>
      <c r="F3157" s="148" t="s">
        <v>37</v>
      </c>
    </row>
    <row r="3158" spans="1:6" ht="15.75">
      <c r="A3158" t="str">
        <f t="shared" si="49"/>
        <v>Corcelles-près-PayerneGazECS</v>
      </c>
      <c r="C3158" s="148" t="s">
        <v>683</v>
      </c>
      <c r="D3158" s="148" t="s">
        <v>239</v>
      </c>
      <c r="E3158" s="148">
        <v>96845.10741690002</v>
      </c>
      <c r="F3158" s="148" t="s">
        <v>37</v>
      </c>
    </row>
    <row r="3159" spans="1:6" ht="15.75">
      <c r="A3159" t="str">
        <f t="shared" si="49"/>
        <v>Corcelles-près-PayerneMazoutECS</v>
      </c>
      <c r="C3159" s="148" t="s">
        <v>683</v>
      </c>
      <c r="D3159" s="148" t="s">
        <v>70</v>
      </c>
      <c r="E3159" s="148">
        <v>1759513.7037432482</v>
      </c>
      <c r="F3159" s="148" t="s">
        <v>37</v>
      </c>
    </row>
    <row r="3160" spans="1:6" ht="15.75">
      <c r="A3160" t="str">
        <f t="shared" si="49"/>
        <v>Corcelles-près-PayerneNon renseignéECS</v>
      </c>
      <c r="C3160" s="148" t="s">
        <v>683</v>
      </c>
      <c r="D3160" s="148" t="s">
        <v>696</v>
      </c>
      <c r="E3160" s="148">
        <v>0</v>
      </c>
      <c r="F3160" s="148" t="s">
        <v>37</v>
      </c>
    </row>
    <row r="3161" spans="1:6" ht="15.75">
      <c r="A3161" t="str">
        <f t="shared" si="49"/>
        <v>Corcelles-près-PayernePACECS</v>
      </c>
      <c r="C3161" s="148" t="s">
        <v>683</v>
      </c>
      <c r="D3161" s="148" t="s">
        <v>69</v>
      </c>
      <c r="E3161" s="148">
        <v>58013.857252569993</v>
      </c>
      <c r="F3161" s="148" t="s">
        <v>37</v>
      </c>
    </row>
    <row r="3162" spans="1:6" ht="15.75">
      <c r="A3162" t="str">
        <f t="shared" si="49"/>
        <v>Corcelles-près-PayerneSolaireECS</v>
      </c>
      <c r="C3162" s="148" t="s">
        <v>683</v>
      </c>
      <c r="D3162" s="148" t="s">
        <v>240</v>
      </c>
      <c r="E3162" s="148">
        <v>612041.7799999998</v>
      </c>
      <c r="F3162" s="148" t="s">
        <v>37</v>
      </c>
    </row>
    <row r="3163" spans="1:6" ht="15.75">
      <c r="A3163" t="str">
        <f t="shared" si="49"/>
        <v>CorseauxBoisECS</v>
      </c>
      <c r="C3163" s="148" t="s">
        <v>437</v>
      </c>
      <c r="D3163" s="148" t="s">
        <v>66</v>
      </c>
      <c r="E3163" s="148">
        <v>88464.517647040004</v>
      </c>
      <c r="F3163" s="148" t="s">
        <v>37</v>
      </c>
    </row>
    <row r="3164" spans="1:6" ht="15.75">
      <c r="A3164" t="str">
        <f t="shared" si="49"/>
        <v>CorseauxCADECS</v>
      </c>
      <c r="C3164" s="148" t="s">
        <v>437</v>
      </c>
      <c r="D3164" s="148" t="s">
        <v>242</v>
      </c>
      <c r="E3164" s="148">
        <v>3339</v>
      </c>
      <c r="F3164" s="148" t="s">
        <v>37</v>
      </c>
    </row>
    <row r="3165" spans="1:6" ht="15.75">
      <c r="A3165" t="str">
        <f t="shared" si="49"/>
        <v>CorseauxElectricitéECS</v>
      </c>
      <c r="C3165" s="148" t="s">
        <v>437</v>
      </c>
      <c r="D3165" s="148" t="s">
        <v>97</v>
      </c>
      <c r="E3165" s="148">
        <v>154773.11111110001</v>
      </c>
      <c r="F3165" s="148" t="s">
        <v>37</v>
      </c>
    </row>
    <row r="3166" spans="1:6" ht="15.75">
      <c r="A3166" t="str">
        <f t="shared" si="49"/>
        <v>CorseauxGazECS</v>
      </c>
      <c r="C3166" s="148" t="s">
        <v>437</v>
      </c>
      <c r="D3166" s="148" t="s">
        <v>239</v>
      </c>
      <c r="E3166" s="148">
        <v>1901543.7442454591</v>
      </c>
      <c r="F3166" s="148" t="s">
        <v>37</v>
      </c>
    </row>
    <row r="3167" spans="1:6" ht="15.75">
      <c r="A3167" t="str">
        <f t="shared" si="49"/>
        <v>CorseauxMazoutECS</v>
      </c>
      <c r="C3167" s="148" t="s">
        <v>437</v>
      </c>
      <c r="D3167" s="148" t="s">
        <v>70</v>
      </c>
      <c r="E3167" s="148">
        <v>1527694.8235293501</v>
      </c>
      <c r="F3167" s="148" t="s">
        <v>37</v>
      </c>
    </row>
    <row r="3168" spans="1:6" ht="15.75">
      <c r="A3168" t="str">
        <f t="shared" si="49"/>
        <v>CorseauxNon renseignéECS</v>
      </c>
      <c r="C3168" s="148" t="s">
        <v>437</v>
      </c>
      <c r="D3168" s="148" t="s">
        <v>696</v>
      </c>
      <c r="E3168" s="148">
        <v>0</v>
      </c>
      <c r="F3168" s="148" t="s">
        <v>37</v>
      </c>
    </row>
    <row r="3169" spans="1:6" ht="15.75">
      <c r="A3169" t="str">
        <f t="shared" si="49"/>
        <v>CorseauxPACECS</v>
      </c>
      <c r="C3169" s="148" t="s">
        <v>437</v>
      </c>
      <c r="D3169" s="148" t="s">
        <v>69</v>
      </c>
      <c r="E3169" s="148">
        <v>28218.14975846</v>
      </c>
      <c r="F3169" s="148" t="s">
        <v>37</v>
      </c>
    </row>
    <row r="3170" spans="1:6" ht="15.75">
      <c r="A3170" t="str">
        <f t="shared" si="49"/>
        <v>CorseauxSolaireECS</v>
      </c>
      <c r="C3170" s="148" t="s">
        <v>437</v>
      </c>
      <c r="D3170" s="148" t="s">
        <v>240</v>
      </c>
      <c r="E3170" s="148">
        <v>190290.80000000002</v>
      </c>
      <c r="F3170" s="148" t="s">
        <v>37</v>
      </c>
    </row>
    <row r="3171" spans="1:6" ht="15.75">
      <c r="A3171" t="str">
        <f t="shared" si="49"/>
        <v>Corsier-sur-VeveyBoisECS</v>
      </c>
      <c r="C3171" s="148" t="s">
        <v>651</v>
      </c>
      <c r="D3171" s="148" t="s">
        <v>66</v>
      </c>
      <c r="E3171" s="148">
        <v>194860.82823530998</v>
      </c>
      <c r="F3171" s="148" t="s">
        <v>37</v>
      </c>
    </row>
    <row r="3172" spans="1:6" ht="15.75">
      <c r="A3172" t="str">
        <f t="shared" si="49"/>
        <v>Corsier-sur-VeveyCADECS</v>
      </c>
      <c r="C3172" s="148" t="s">
        <v>651</v>
      </c>
      <c r="D3172" s="148" t="s">
        <v>242</v>
      </c>
      <c r="E3172" s="148">
        <v>10942.4</v>
      </c>
      <c r="F3172" s="148" t="s">
        <v>37</v>
      </c>
    </row>
    <row r="3173" spans="1:6" ht="15.75">
      <c r="A3173" t="str">
        <f t="shared" si="49"/>
        <v>Corsier-sur-VeveyElectricitéECS</v>
      </c>
      <c r="C3173" s="148" t="s">
        <v>651</v>
      </c>
      <c r="D3173" s="148" t="s">
        <v>97</v>
      </c>
      <c r="E3173" s="148">
        <v>640876.37124185986</v>
      </c>
      <c r="F3173" s="148" t="s">
        <v>37</v>
      </c>
    </row>
    <row r="3174" spans="1:6" ht="15.75">
      <c r="A3174" t="str">
        <f t="shared" si="49"/>
        <v>Corsier-sur-VeveyGazECS</v>
      </c>
      <c r="C3174" s="148" t="s">
        <v>651</v>
      </c>
      <c r="D3174" s="148" t="s">
        <v>239</v>
      </c>
      <c r="E3174" s="148">
        <v>1245309.8903096893</v>
      </c>
      <c r="F3174" s="148" t="s">
        <v>37</v>
      </c>
    </row>
    <row r="3175" spans="1:6" ht="15.75">
      <c r="A3175" t="str">
        <f t="shared" si="49"/>
        <v>Corsier-sur-VeveyMazoutECS</v>
      </c>
      <c r="C3175" s="148" t="s">
        <v>651</v>
      </c>
      <c r="D3175" s="148" t="s">
        <v>70</v>
      </c>
      <c r="E3175" s="148">
        <v>2914545.6941175899</v>
      </c>
      <c r="F3175" s="148" t="s">
        <v>37</v>
      </c>
    </row>
    <row r="3176" spans="1:6" ht="15.75">
      <c r="A3176" t="str">
        <f t="shared" si="49"/>
        <v>Corsier-sur-VeveyNon renseignéECS</v>
      </c>
      <c r="C3176" s="148" t="s">
        <v>651</v>
      </c>
      <c r="D3176" s="148" t="s">
        <v>696</v>
      </c>
      <c r="E3176" s="148">
        <v>0</v>
      </c>
      <c r="F3176" s="148" t="s">
        <v>37</v>
      </c>
    </row>
    <row r="3177" spans="1:6" ht="15.75">
      <c r="A3177" t="str">
        <f t="shared" si="49"/>
        <v>Corsier-sur-VeveyPACECS</v>
      </c>
      <c r="C3177" s="148" t="s">
        <v>651</v>
      </c>
      <c r="D3177" s="148" t="s">
        <v>69</v>
      </c>
      <c r="E3177" s="148">
        <v>18660.608324050001</v>
      </c>
      <c r="F3177" s="148" t="s">
        <v>37</v>
      </c>
    </row>
    <row r="3178" spans="1:6" ht="15.75">
      <c r="A3178" t="str">
        <f t="shared" si="49"/>
        <v>Corsier-sur-VeveySolaireECS</v>
      </c>
      <c r="C3178" s="148" t="s">
        <v>651</v>
      </c>
      <c r="D3178" s="148" t="s">
        <v>240</v>
      </c>
      <c r="E3178" s="148">
        <v>196154.97999999998</v>
      </c>
      <c r="F3178" s="148" t="s">
        <v>37</v>
      </c>
    </row>
    <row r="3179" spans="1:6" ht="15.75">
      <c r="A3179" t="str">
        <f t="shared" si="49"/>
        <v>CossonayBoisECS</v>
      </c>
      <c r="C3179" s="148" t="s">
        <v>438</v>
      </c>
      <c r="D3179" s="148" t="s">
        <v>66</v>
      </c>
      <c r="E3179" s="148">
        <v>132117.83529409999</v>
      </c>
      <c r="F3179" s="148" t="s">
        <v>37</v>
      </c>
    </row>
    <row r="3180" spans="1:6" ht="15.75">
      <c r="A3180" t="str">
        <f t="shared" si="49"/>
        <v>CossonayCADECS</v>
      </c>
      <c r="C3180" s="148" t="s">
        <v>438</v>
      </c>
      <c r="D3180" s="148" t="s">
        <v>242</v>
      </c>
      <c r="E3180" s="148" t="e">
        <v>#N/A</v>
      </c>
      <c r="F3180" s="148" t="s">
        <v>37</v>
      </c>
    </row>
    <row r="3181" spans="1:6" ht="15.75">
      <c r="A3181" t="str">
        <f t="shared" si="49"/>
        <v>CossonayElectricitéECS</v>
      </c>
      <c r="C3181" s="148" t="s">
        <v>438</v>
      </c>
      <c r="D3181" s="148" t="s">
        <v>97</v>
      </c>
      <c r="E3181" s="148">
        <v>381980.45128205017</v>
      </c>
      <c r="F3181" s="148" t="s">
        <v>37</v>
      </c>
    </row>
    <row r="3182" spans="1:6" ht="15.75">
      <c r="A3182" t="str">
        <f t="shared" si="49"/>
        <v>CossonayGazECS</v>
      </c>
      <c r="C3182" s="148" t="s">
        <v>438</v>
      </c>
      <c r="D3182" s="148" t="s">
        <v>239</v>
      </c>
      <c r="E3182" s="148">
        <v>2799801.2557545528</v>
      </c>
      <c r="F3182" s="148" t="s">
        <v>37</v>
      </c>
    </row>
    <row r="3183" spans="1:6" ht="15.75">
      <c r="A3183" t="str">
        <f t="shared" si="49"/>
        <v>CossonayMazoutECS</v>
      </c>
      <c r="C3183" s="148" t="s">
        <v>438</v>
      </c>
      <c r="D3183" s="148" t="s">
        <v>70</v>
      </c>
      <c r="E3183" s="148">
        <v>715928.70588238002</v>
      </c>
      <c r="F3183" s="148" t="s">
        <v>37</v>
      </c>
    </row>
    <row r="3184" spans="1:6" ht="15.75">
      <c r="A3184" t="str">
        <f t="shared" si="49"/>
        <v>CossonayNon renseignéECS</v>
      </c>
      <c r="C3184" s="148" t="s">
        <v>438</v>
      </c>
      <c r="D3184" s="148" t="s">
        <v>696</v>
      </c>
      <c r="E3184" s="148">
        <v>0</v>
      </c>
      <c r="F3184" s="148" t="s">
        <v>37</v>
      </c>
    </row>
    <row r="3185" spans="1:6" ht="15.75">
      <c r="A3185" t="str">
        <f t="shared" si="49"/>
        <v>CossonayPACECS</v>
      </c>
      <c r="C3185" s="148" t="s">
        <v>438</v>
      </c>
      <c r="D3185" s="148" t="s">
        <v>69</v>
      </c>
      <c r="E3185" s="148">
        <v>31622.113712359998</v>
      </c>
      <c r="F3185" s="148" t="s">
        <v>37</v>
      </c>
    </row>
    <row r="3186" spans="1:6" ht="15.75">
      <c r="A3186" t="str">
        <f t="shared" si="49"/>
        <v>CossonaySolaireECS</v>
      </c>
      <c r="C3186" s="148" t="s">
        <v>438</v>
      </c>
      <c r="D3186" s="148" t="s">
        <v>240</v>
      </c>
      <c r="E3186" s="148">
        <v>649448.99999999988</v>
      </c>
      <c r="F3186" s="148" t="s">
        <v>37</v>
      </c>
    </row>
    <row r="3187" spans="1:6" ht="15.75">
      <c r="A3187" t="str">
        <f t="shared" si="49"/>
        <v>Cottens (VD)BoisECS</v>
      </c>
      <c r="C3187" s="148" t="s">
        <v>650</v>
      </c>
      <c r="D3187" s="148" t="s">
        <v>66</v>
      </c>
      <c r="E3187" s="148" t="e">
        <v>#N/A</v>
      </c>
      <c r="F3187" s="148" t="s">
        <v>37</v>
      </c>
    </row>
    <row r="3188" spans="1:6" ht="15.75">
      <c r="A3188" t="str">
        <f t="shared" si="49"/>
        <v>Cottens (VD)CADECS</v>
      </c>
      <c r="C3188" s="148" t="s">
        <v>650</v>
      </c>
      <c r="D3188" s="148" t="s">
        <v>242</v>
      </c>
      <c r="E3188" s="148" t="e">
        <v>#N/A</v>
      </c>
      <c r="F3188" s="148" t="s">
        <v>37</v>
      </c>
    </row>
    <row r="3189" spans="1:6" ht="15.75">
      <c r="A3189" t="str">
        <f t="shared" si="49"/>
        <v>Cottens (VD)ElectricitéECS</v>
      </c>
      <c r="C3189" s="148" t="s">
        <v>650</v>
      </c>
      <c r="D3189" s="148" t="s">
        <v>97</v>
      </c>
      <c r="E3189" s="148" t="e">
        <v>#N/A</v>
      </c>
      <c r="F3189" s="148" t="s">
        <v>37</v>
      </c>
    </row>
    <row r="3190" spans="1:6" ht="15.75">
      <c r="A3190" t="str">
        <f t="shared" si="49"/>
        <v>Cottens (VD)GazECS</v>
      </c>
      <c r="C3190" s="148" t="s">
        <v>650</v>
      </c>
      <c r="D3190" s="148" t="s">
        <v>239</v>
      </c>
      <c r="E3190" s="148" t="e">
        <v>#N/A</v>
      </c>
      <c r="F3190" s="148" t="s">
        <v>37</v>
      </c>
    </row>
    <row r="3191" spans="1:6" ht="15.75">
      <c r="A3191" t="str">
        <f t="shared" si="49"/>
        <v>Cottens (VD)MazoutECS</v>
      </c>
      <c r="C3191" s="148" t="s">
        <v>650</v>
      </c>
      <c r="D3191" s="148" t="s">
        <v>70</v>
      </c>
      <c r="E3191" s="148" t="e">
        <v>#N/A</v>
      </c>
      <c r="F3191" s="148" t="s">
        <v>37</v>
      </c>
    </row>
    <row r="3192" spans="1:6" ht="15.75">
      <c r="A3192" t="str">
        <f t="shared" si="49"/>
        <v>Cottens (VD)Non renseignéECS</v>
      </c>
      <c r="C3192" s="148" t="s">
        <v>650</v>
      </c>
      <c r="D3192" s="148" t="s">
        <v>696</v>
      </c>
      <c r="E3192" s="148" t="e">
        <v>#N/A</v>
      </c>
      <c r="F3192" s="148" t="s">
        <v>37</v>
      </c>
    </row>
    <row r="3193" spans="1:6" ht="15.75">
      <c r="A3193" t="str">
        <f t="shared" si="49"/>
        <v>Cottens (VD)PACECS</v>
      </c>
      <c r="C3193" s="148" t="s">
        <v>650</v>
      </c>
      <c r="D3193" s="148" t="s">
        <v>69</v>
      </c>
      <c r="E3193" s="148" t="e">
        <v>#N/A</v>
      </c>
      <c r="F3193" s="148" t="s">
        <v>37</v>
      </c>
    </row>
    <row r="3194" spans="1:6" ht="15.75">
      <c r="A3194" t="str">
        <f t="shared" si="49"/>
        <v>Cottens (VD)SolaireECS</v>
      </c>
      <c r="C3194" s="148" t="s">
        <v>650</v>
      </c>
      <c r="D3194" s="148" t="s">
        <v>240</v>
      </c>
      <c r="E3194" s="148" t="e">
        <v>#N/A</v>
      </c>
      <c r="F3194" s="148" t="s">
        <v>37</v>
      </c>
    </row>
    <row r="3195" spans="1:6" ht="15.75">
      <c r="A3195" t="str">
        <f t="shared" si="49"/>
        <v>CransBoisECS</v>
      </c>
      <c r="C3195" s="148" t="s">
        <v>684</v>
      </c>
      <c r="D3195" s="148" t="s">
        <v>66</v>
      </c>
      <c r="E3195" s="148">
        <v>67780.423529409993</v>
      </c>
      <c r="F3195" s="148" t="s">
        <v>37</v>
      </c>
    </row>
    <row r="3196" spans="1:6" ht="15.75">
      <c r="A3196" t="str">
        <f t="shared" si="49"/>
        <v>CransCADECS</v>
      </c>
      <c r="C3196" s="148" t="s">
        <v>684</v>
      </c>
      <c r="D3196" s="148" t="s">
        <v>242</v>
      </c>
      <c r="E3196" s="148">
        <v>1646.4</v>
      </c>
      <c r="F3196" s="148" t="s">
        <v>37</v>
      </c>
    </row>
    <row r="3197" spans="1:6" ht="15.75">
      <c r="A3197" t="str">
        <f t="shared" si="49"/>
        <v>CransCharbonECS</v>
      </c>
      <c r="C3197" s="148" t="s">
        <v>684</v>
      </c>
      <c r="D3197" s="148" t="s">
        <v>695</v>
      </c>
      <c r="E3197" s="148" t="e">
        <v>#N/A</v>
      </c>
      <c r="F3197" s="148" t="s">
        <v>37</v>
      </c>
    </row>
    <row r="3198" spans="1:6" ht="15.75">
      <c r="A3198" t="str">
        <f t="shared" si="49"/>
        <v>CransElectricitéECS</v>
      </c>
      <c r="C3198" s="148" t="s">
        <v>684</v>
      </c>
      <c r="D3198" s="148" t="s">
        <v>97</v>
      </c>
      <c r="E3198" s="148">
        <v>1222880.0888889104</v>
      </c>
      <c r="F3198" s="148" t="s">
        <v>37</v>
      </c>
    </row>
    <row r="3199" spans="1:6" ht="15.75">
      <c r="A3199" t="str">
        <f t="shared" si="49"/>
        <v>CransGazECS</v>
      </c>
      <c r="C3199" s="148" t="s">
        <v>684</v>
      </c>
      <c r="D3199" s="148" t="s">
        <v>239</v>
      </c>
      <c r="E3199" s="148">
        <v>36946.823529410001</v>
      </c>
      <c r="F3199" s="148" t="s">
        <v>37</v>
      </c>
    </row>
    <row r="3200" spans="1:6" ht="15.75">
      <c r="A3200" t="str">
        <f t="shared" si="49"/>
        <v>CransMazoutECS</v>
      </c>
      <c r="C3200" s="148" t="s">
        <v>684</v>
      </c>
      <c r="D3200" s="148" t="s">
        <v>70</v>
      </c>
      <c r="E3200" s="148">
        <v>1639713.308021381</v>
      </c>
      <c r="F3200" s="148" t="s">
        <v>37</v>
      </c>
    </row>
    <row r="3201" spans="1:6" ht="15.75">
      <c r="A3201" t="str">
        <f t="shared" si="49"/>
        <v>CransNon renseignéECS</v>
      </c>
      <c r="C3201" s="148" t="s">
        <v>684</v>
      </c>
      <c r="D3201" s="148" t="s">
        <v>696</v>
      </c>
      <c r="E3201" s="148">
        <v>0</v>
      </c>
      <c r="F3201" s="148" t="s">
        <v>37</v>
      </c>
    </row>
    <row r="3202" spans="1:6" ht="15.75">
      <c r="A3202" t="str">
        <f t="shared" si="49"/>
        <v>CransPACECS</v>
      </c>
      <c r="C3202" s="148" t="s">
        <v>684</v>
      </c>
      <c r="D3202" s="148" t="s">
        <v>69</v>
      </c>
      <c r="E3202" s="148">
        <v>122396.78742503998</v>
      </c>
      <c r="F3202" s="148" t="s">
        <v>37</v>
      </c>
    </row>
    <row r="3203" spans="1:6" ht="15.75">
      <c r="A3203" t="str">
        <f t="shared" si="49"/>
        <v>CransSolaireECS</v>
      </c>
      <c r="C3203" s="148" t="s">
        <v>684</v>
      </c>
      <c r="D3203" s="148" t="s">
        <v>240</v>
      </c>
      <c r="E3203" s="148">
        <v>199245.2</v>
      </c>
      <c r="F3203" s="148" t="s">
        <v>37</v>
      </c>
    </row>
    <row r="3204" spans="1:6" ht="15.75">
      <c r="A3204" t="str">
        <f t="shared" si="49"/>
        <v>CrassierBoisECS</v>
      </c>
      <c r="C3204" s="148" t="s">
        <v>439</v>
      </c>
      <c r="D3204" s="148" t="s">
        <v>66</v>
      </c>
      <c r="E3204" s="148">
        <v>117921.72549020001</v>
      </c>
      <c r="F3204" s="148" t="s">
        <v>37</v>
      </c>
    </row>
    <row r="3205" spans="1:6" ht="15.75">
      <c r="A3205" t="str">
        <f t="shared" si="49"/>
        <v>CrassierCADECS</v>
      </c>
      <c r="C3205" s="148" t="s">
        <v>439</v>
      </c>
      <c r="D3205" s="148" t="s">
        <v>242</v>
      </c>
      <c r="E3205" s="148">
        <v>7246.4000000000005</v>
      </c>
      <c r="F3205" s="148" t="s">
        <v>37</v>
      </c>
    </row>
    <row r="3206" spans="1:6" ht="15.75">
      <c r="A3206" t="str">
        <f t="shared" si="49"/>
        <v>CrassierElectricitéECS</v>
      </c>
      <c r="C3206" s="148" t="s">
        <v>439</v>
      </c>
      <c r="D3206" s="148" t="s">
        <v>97</v>
      </c>
      <c r="E3206" s="148">
        <v>226846.66666668007</v>
      </c>
      <c r="F3206" s="148" t="s">
        <v>37</v>
      </c>
    </row>
    <row r="3207" spans="1:6" ht="15.75">
      <c r="A3207" t="str">
        <f t="shared" si="49"/>
        <v>CrassierGazECS</v>
      </c>
      <c r="C3207" s="148" t="s">
        <v>439</v>
      </c>
      <c r="D3207" s="148" t="s">
        <v>239</v>
      </c>
      <c r="E3207" s="148">
        <v>46987.294117659992</v>
      </c>
      <c r="F3207" s="148" t="s">
        <v>37</v>
      </c>
    </row>
    <row r="3208" spans="1:6" ht="15.75">
      <c r="A3208" t="str">
        <f t="shared" si="49"/>
        <v>CrassierMazoutECS</v>
      </c>
      <c r="C3208" s="148" t="s">
        <v>439</v>
      </c>
      <c r="D3208" s="148" t="s">
        <v>70</v>
      </c>
      <c r="E3208" s="148">
        <v>933447.52941169008</v>
      </c>
      <c r="F3208" s="148" t="s">
        <v>37</v>
      </c>
    </row>
    <row r="3209" spans="1:6" ht="15.75">
      <c r="A3209" t="str">
        <f t="shared" si="49"/>
        <v>CrassierNon renseignéECS</v>
      </c>
      <c r="C3209" s="148" t="s">
        <v>439</v>
      </c>
      <c r="D3209" s="148" t="s">
        <v>696</v>
      </c>
      <c r="E3209" s="148">
        <v>0</v>
      </c>
      <c r="F3209" s="148" t="s">
        <v>37</v>
      </c>
    </row>
    <row r="3210" spans="1:6" ht="15.75">
      <c r="A3210" t="str">
        <f t="shared" si="49"/>
        <v>CrassierPACECS</v>
      </c>
      <c r="C3210" s="148" t="s">
        <v>439</v>
      </c>
      <c r="D3210" s="148" t="s">
        <v>69</v>
      </c>
      <c r="E3210" s="148">
        <v>48669.82162766</v>
      </c>
      <c r="F3210" s="148" t="s">
        <v>37</v>
      </c>
    </row>
    <row r="3211" spans="1:6" ht="15.75">
      <c r="A3211" t="str">
        <f t="shared" ref="A3211:A3274" si="50">_xlfn.CONCAT(C3211,D3211,F3211)</f>
        <v>CrassierSolaireECS</v>
      </c>
      <c r="C3211" s="148" t="s">
        <v>439</v>
      </c>
      <c r="D3211" s="148" t="s">
        <v>240</v>
      </c>
      <c r="E3211" s="148">
        <v>79646</v>
      </c>
      <c r="F3211" s="148" t="s">
        <v>37</v>
      </c>
    </row>
    <row r="3212" spans="1:6" ht="15.75">
      <c r="A3212" t="str">
        <f t="shared" si="50"/>
        <v>CrissierBoisECS</v>
      </c>
      <c r="C3212" s="148" t="s">
        <v>440</v>
      </c>
      <c r="D3212" s="148" t="s">
        <v>66</v>
      </c>
      <c r="E3212" s="148">
        <v>746261.81960783992</v>
      </c>
      <c r="F3212" s="148" t="s">
        <v>37</v>
      </c>
    </row>
    <row r="3213" spans="1:6" ht="15.75">
      <c r="A3213" t="str">
        <f t="shared" si="50"/>
        <v>CrissierCADECS</v>
      </c>
      <c r="C3213" s="148" t="s">
        <v>440</v>
      </c>
      <c r="D3213" s="148" t="s">
        <v>242</v>
      </c>
      <c r="E3213" s="148">
        <v>426442.8</v>
      </c>
      <c r="F3213" s="148" t="s">
        <v>37</v>
      </c>
    </row>
    <row r="3214" spans="1:6" ht="15.75">
      <c r="A3214" t="str">
        <f t="shared" si="50"/>
        <v>CrissierElectricitéECS</v>
      </c>
      <c r="C3214" s="148" t="s">
        <v>440</v>
      </c>
      <c r="D3214" s="148" t="s">
        <v>97</v>
      </c>
      <c r="E3214" s="148">
        <v>1288138.7555555599</v>
      </c>
      <c r="F3214" s="148" t="s">
        <v>37</v>
      </c>
    </row>
    <row r="3215" spans="1:6" ht="15.75">
      <c r="A3215" t="str">
        <f t="shared" si="50"/>
        <v>CrissierGazECS</v>
      </c>
      <c r="C3215" s="148" t="s">
        <v>440</v>
      </c>
      <c r="D3215" s="148" t="s">
        <v>239</v>
      </c>
      <c r="E3215" s="148">
        <v>4476299.3333333246</v>
      </c>
      <c r="F3215" s="148" t="s">
        <v>37</v>
      </c>
    </row>
    <row r="3216" spans="1:6" ht="15.75">
      <c r="A3216" t="str">
        <f t="shared" si="50"/>
        <v>CrissierMazoutECS</v>
      </c>
      <c r="C3216" s="148" t="s">
        <v>440</v>
      </c>
      <c r="D3216" s="148" t="s">
        <v>70</v>
      </c>
      <c r="E3216" s="148">
        <v>5987520.5839571888</v>
      </c>
      <c r="F3216" s="148" t="s">
        <v>37</v>
      </c>
    </row>
    <row r="3217" spans="1:6" ht="15.75">
      <c r="A3217" t="str">
        <f t="shared" si="50"/>
        <v>CrissierNon renseignéECS</v>
      </c>
      <c r="C3217" s="148" t="s">
        <v>440</v>
      </c>
      <c r="D3217" s="148" t="s">
        <v>696</v>
      </c>
      <c r="E3217" s="148">
        <v>0</v>
      </c>
      <c r="F3217" s="148" t="s">
        <v>37</v>
      </c>
    </row>
    <row r="3218" spans="1:6" ht="15.75">
      <c r="A3218" t="str">
        <f t="shared" si="50"/>
        <v>CrissierPACECS</v>
      </c>
      <c r="C3218" s="148" t="s">
        <v>440</v>
      </c>
      <c r="D3218" s="148" t="s">
        <v>69</v>
      </c>
      <c r="E3218" s="148">
        <v>79634.854453129999</v>
      </c>
      <c r="F3218" s="148" t="s">
        <v>37</v>
      </c>
    </row>
    <row r="3219" spans="1:6" ht="15.75">
      <c r="A3219" t="str">
        <f t="shared" si="50"/>
        <v>CrissierSolaireECS</v>
      </c>
      <c r="C3219" s="148" t="s">
        <v>440</v>
      </c>
      <c r="D3219" s="148" t="s">
        <v>240</v>
      </c>
      <c r="E3219" s="148">
        <v>293101.89999999991</v>
      </c>
      <c r="F3219" s="148" t="s">
        <v>37</v>
      </c>
    </row>
    <row r="3220" spans="1:6" ht="15.75">
      <c r="A3220" t="str">
        <f t="shared" si="50"/>
        <v>CronayBoisECS</v>
      </c>
      <c r="C3220" s="148" t="s">
        <v>441</v>
      </c>
      <c r="D3220" s="148" t="s">
        <v>66</v>
      </c>
      <c r="E3220" s="148">
        <v>170391.09019608999</v>
      </c>
      <c r="F3220" s="148" t="s">
        <v>37</v>
      </c>
    </row>
    <row r="3221" spans="1:6" ht="15.75">
      <c r="A3221" t="str">
        <f t="shared" si="50"/>
        <v>CronayCADECS</v>
      </c>
      <c r="C3221" s="148" t="s">
        <v>441</v>
      </c>
      <c r="D3221" s="148" t="s">
        <v>242</v>
      </c>
      <c r="E3221" s="148" t="e">
        <v>#N/A</v>
      </c>
      <c r="F3221" s="148" t="s">
        <v>37</v>
      </c>
    </row>
    <row r="3222" spans="1:6" ht="15.75">
      <c r="A3222" t="str">
        <f t="shared" si="50"/>
        <v>CronayElectricitéECS</v>
      </c>
      <c r="C3222" s="148" t="s">
        <v>441</v>
      </c>
      <c r="D3222" s="148" t="s">
        <v>97</v>
      </c>
      <c r="E3222" s="148">
        <v>165595.73333333002</v>
      </c>
      <c r="F3222" s="148" t="s">
        <v>37</v>
      </c>
    </row>
    <row r="3223" spans="1:6" ht="15.75">
      <c r="A3223" t="str">
        <f t="shared" si="50"/>
        <v>CronayGazECS</v>
      </c>
      <c r="C3223" s="148" t="s">
        <v>441</v>
      </c>
      <c r="D3223" s="148" t="s">
        <v>239</v>
      </c>
      <c r="E3223" s="148">
        <v>34666.622762159997</v>
      </c>
      <c r="F3223" s="148" t="s">
        <v>37</v>
      </c>
    </row>
    <row r="3224" spans="1:6" ht="15.75">
      <c r="A3224" t="str">
        <f t="shared" si="50"/>
        <v>CronayMazoutECS</v>
      </c>
      <c r="C3224" s="148" t="s">
        <v>441</v>
      </c>
      <c r="D3224" s="148" t="s">
        <v>70</v>
      </c>
      <c r="E3224" s="148">
        <v>262249.64705879998</v>
      </c>
      <c r="F3224" s="148" t="s">
        <v>37</v>
      </c>
    </row>
    <row r="3225" spans="1:6" ht="15.75">
      <c r="A3225" t="str">
        <f t="shared" si="50"/>
        <v>CronayNon renseignéECS</v>
      </c>
      <c r="C3225" s="148" t="s">
        <v>441</v>
      </c>
      <c r="D3225" s="148" t="s">
        <v>696</v>
      </c>
      <c r="E3225" s="148">
        <v>0</v>
      </c>
      <c r="F3225" s="148" t="s">
        <v>37</v>
      </c>
    </row>
    <row r="3226" spans="1:6" ht="15.75">
      <c r="A3226" t="str">
        <f t="shared" si="50"/>
        <v>CronayPACECS</v>
      </c>
      <c r="C3226" s="148" t="s">
        <v>441</v>
      </c>
      <c r="D3226" s="148" t="s">
        <v>69</v>
      </c>
      <c r="E3226" s="148">
        <v>12503.076923050001</v>
      </c>
      <c r="F3226" s="148" t="s">
        <v>37</v>
      </c>
    </row>
    <row r="3227" spans="1:6" ht="15.75">
      <c r="A3227" t="str">
        <f t="shared" si="50"/>
        <v>CronaySolaireECS</v>
      </c>
      <c r="C3227" s="148" t="s">
        <v>441</v>
      </c>
      <c r="D3227" s="148" t="s">
        <v>240</v>
      </c>
      <c r="E3227" s="148">
        <v>128105.60000000002</v>
      </c>
      <c r="F3227" s="148" t="s">
        <v>37</v>
      </c>
    </row>
    <row r="3228" spans="1:6" ht="15.75">
      <c r="A3228" t="str">
        <f t="shared" si="50"/>
        <v>CroyBoisECS</v>
      </c>
      <c r="C3228" s="148" t="s">
        <v>442</v>
      </c>
      <c r="D3228" s="148" t="s">
        <v>66</v>
      </c>
      <c r="E3228" s="148">
        <v>19226.007843140003</v>
      </c>
      <c r="F3228" s="148" t="s">
        <v>37</v>
      </c>
    </row>
    <row r="3229" spans="1:6" ht="15.75">
      <c r="A3229" t="str">
        <f t="shared" si="50"/>
        <v>CroyElectricitéECS</v>
      </c>
      <c r="C3229" s="148" t="s">
        <v>442</v>
      </c>
      <c r="D3229" s="148" t="s">
        <v>97</v>
      </c>
      <c r="E3229" s="148">
        <v>129812.66666667</v>
      </c>
      <c r="F3229" s="148" t="s">
        <v>37</v>
      </c>
    </row>
    <row r="3230" spans="1:6" ht="15.75">
      <c r="A3230" t="str">
        <f t="shared" si="50"/>
        <v>CroyGazECS</v>
      </c>
      <c r="C3230" s="148" t="s">
        <v>442</v>
      </c>
      <c r="D3230" s="148" t="s">
        <v>239</v>
      </c>
      <c r="E3230" s="148">
        <v>175940.72122759002</v>
      </c>
      <c r="F3230" s="148" t="s">
        <v>37</v>
      </c>
    </row>
    <row r="3231" spans="1:6" ht="15.75">
      <c r="A3231" t="str">
        <f t="shared" si="50"/>
        <v>CroyMazoutECS</v>
      </c>
      <c r="C3231" s="148" t="s">
        <v>442</v>
      </c>
      <c r="D3231" s="148" t="s">
        <v>70</v>
      </c>
      <c r="E3231" s="148">
        <v>271735.05882353004</v>
      </c>
      <c r="F3231" s="148" t="s">
        <v>37</v>
      </c>
    </row>
    <row r="3232" spans="1:6" ht="15.75">
      <c r="A3232" t="str">
        <f t="shared" si="50"/>
        <v>CroyNon renseignéECS</v>
      </c>
      <c r="C3232" s="148" t="s">
        <v>442</v>
      </c>
      <c r="D3232" s="148" t="s">
        <v>696</v>
      </c>
      <c r="E3232" s="148">
        <v>0</v>
      </c>
      <c r="F3232" s="148" t="s">
        <v>37</v>
      </c>
    </row>
    <row r="3233" spans="1:6" ht="15.75">
      <c r="A3233" t="str">
        <f t="shared" si="50"/>
        <v>CroyPACECS</v>
      </c>
      <c r="C3233" s="148" t="s">
        <v>442</v>
      </c>
      <c r="D3233" s="148" t="s">
        <v>69</v>
      </c>
      <c r="E3233" s="148">
        <v>16167.846153839999</v>
      </c>
      <c r="F3233" s="148" t="s">
        <v>37</v>
      </c>
    </row>
    <row r="3234" spans="1:6" ht="15.75">
      <c r="A3234" t="str">
        <f t="shared" si="50"/>
        <v>CroySolaireECS</v>
      </c>
      <c r="C3234" s="148" t="s">
        <v>442</v>
      </c>
      <c r="D3234" s="148" t="s">
        <v>240</v>
      </c>
      <c r="E3234" s="148">
        <v>37987.599999999999</v>
      </c>
      <c r="F3234" s="148" t="s">
        <v>37</v>
      </c>
    </row>
    <row r="3235" spans="1:6" ht="15.75">
      <c r="A3235" t="str">
        <f t="shared" si="50"/>
        <v>CuarnensBoisECS</v>
      </c>
      <c r="C3235" s="148" t="s">
        <v>443</v>
      </c>
      <c r="D3235" s="148" t="s">
        <v>66</v>
      </c>
      <c r="E3235" s="148">
        <v>200439.81176471003</v>
      </c>
      <c r="F3235" s="148" t="s">
        <v>37</v>
      </c>
    </row>
    <row r="3236" spans="1:6" ht="15.75">
      <c r="A3236" t="str">
        <f t="shared" si="50"/>
        <v>CuarnensCADECS</v>
      </c>
      <c r="C3236" s="148" t="s">
        <v>443</v>
      </c>
      <c r="D3236" s="148" t="s">
        <v>242</v>
      </c>
      <c r="E3236" s="148">
        <v>72644</v>
      </c>
      <c r="F3236" s="148" t="s">
        <v>37</v>
      </c>
    </row>
    <row r="3237" spans="1:6" ht="15.75">
      <c r="A3237" t="str">
        <f t="shared" si="50"/>
        <v>CuarnensElectricitéECS</v>
      </c>
      <c r="C3237" s="148" t="s">
        <v>443</v>
      </c>
      <c r="D3237" s="148" t="s">
        <v>97</v>
      </c>
      <c r="E3237" s="148">
        <v>271329.33333331003</v>
      </c>
      <c r="F3237" s="148" t="s">
        <v>37</v>
      </c>
    </row>
    <row r="3238" spans="1:6" ht="15.75">
      <c r="A3238" t="str">
        <f t="shared" si="50"/>
        <v>CuarnensGazECS</v>
      </c>
      <c r="C3238" s="148" t="s">
        <v>443</v>
      </c>
      <c r="D3238" s="148" t="s">
        <v>239</v>
      </c>
      <c r="E3238" s="148">
        <v>390369.34015344008</v>
      </c>
      <c r="F3238" s="148" t="s">
        <v>37</v>
      </c>
    </row>
    <row r="3239" spans="1:6" ht="15.75">
      <c r="A3239" t="str">
        <f t="shared" si="50"/>
        <v>CuarnensMazoutECS</v>
      </c>
      <c r="C3239" s="148" t="s">
        <v>443</v>
      </c>
      <c r="D3239" s="148" t="s">
        <v>70</v>
      </c>
      <c r="E3239" s="148">
        <v>227497.25490195997</v>
      </c>
      <c r="F3239" s="148" t="s">
        <v>37</v>
      </c>
    </row>
    <row r="3240" spans="1:6" ht="15.75">
      <c r="A3240" t="str">
        <f t="shared" si="50"/>
        <v>CuarnensNon renseignéECS</v>
      </c>
      <c r="C3240" s="148" t="s">
        <v>443</v>
      </c>
      <c r="D3240" s="148" t="s">
        <v>696</v>
      </c>
      <c r="E3240" s="148">
        <v>0</v>
      </c>
      <c r="F3240" s="148" t="s">
        <v>37</v>
      </c>
    </row>
    <row r="3241" spans="1:6" ht="15.75">
      <c r="A3241" t="str">
        <f t="shared" si="50"/>
        <v>CuarnensPACECS</v>
      </c>
      <c r="C3241" s="148" t="s">
        <v>443</v>
      </c>
      <c r="D3241" s="148" t="s">
        <v>69</v>
      </c>
      <c r="E3241" s="148">
        <v>4271.0769230799997</v>
      </c>
      <c r="F3241" s="148" t="s">
        <v>37</v>
      </c>
    </row>
    <row r="3242" spans="1:6" ht="15.75">
      <c r="A3242" t="str">
        <f t="shared" si="50"/>
        <v>CuarnensSolaireECS</v>
      </c>
      <c r="C3242" s="148" t="s">
        <v>443</v>
      </c>
      <c r="D3242" s="148" t="s">
        <v>240</v>
      </c>
      <c r="E3242" s="148">
        <v>44973.599999999999</v>
      </c>
      <c r="F3242" s="148" t="s">
        <v>37</v>
      </c>
    </row>
    <row r="3243" spans="1:6" ht="15.75">
      <c r="A3243" t="str">
        <f t="shared" si="50"/>
        <v>CuarnyAutre agent énergétiqueECS</v>
      </c>
      <c r="C3243" s="148" t="s">
        <v>444</v>
      </c>
      <c r="D3243" s="148" t="s">
        <v>245</v>
      </c>
      <c r="E3243" s="148">
        <v>2292.7058823500001</v>
      </c>
      <c r="F3243" s="148" t="s">
        <v>37</v>
      </c>
    </row>
    <row r="3244" spans="1:6" ht="15.75">
      <c r="A3244" t="str">
        <f t="shared" si="50"/>
        <v>CuarnyBoisECS</v>
      </c>
      <c r="C3244" s="148" t="s">
        <v>444</v>
      </c>
      <c r="D3244" s="148" t="s">
        <v>66</v>
      </c>
      <c r="E3244" s="148">
        <v>78282.839215700005</v>
      </c>
      <c r="F3244" s="148" t="s">
        <v>37</v>
      </c>
    </row>
    <row r="3245" spans="1:6" ht="15.75">
      <c r="A3245" t="str">
        <f t="shared" si="50"/>
        <v>CuarnyCADECS</v>
      </c>
      <c r="C3245" s="148" t="s">
        <v>444</v>
      </c>
      <c r="D3245" s="148" t="s">
        <v>242</v>
      </c>
      <c r="E3245" s="148" t="e">
        <v>#N/A</v>
      </c>
      <c r="F3245" s="148" t="s">
        <v>37</v>
      </c>
    </row>
    <row r="3246" spans="1:6" ht="15.75">
      <c r="A3246" t="str">
        <f t="shared" si="50"/>
        <v>CuarnyElectricitéECS</v>
      </c>
      <c r="C3246" s="148" t="s">
        <v>444</v>
      </c>
      <c r="D3246" s="148" t="s">
        <v>97</v>
      </c>
      <c r="E3246" s="148">
        <v>133945.77777776998</v>
      </c>
      <c r="F3246" s="148" t="s">
        <v>37</v>
      </c>
    </row>
    <row r="3247" spans="1:6" ht="15.75">
      <c r="A3247" t="str">
        <f t="shared" si="50"/>
        <v>CuarnyGazECS</v>
      </c>
      <c r="C3247" s="148" t="s">
        <v>444</v>
      </c>
      <c r="D3247" s="148" t="s">
        <v>239</v>
      </c>
      <c r="E3247" s="148">
        <v>3228.2352941200002</v>
      </c>
      <c r="F3247" s="148" t="s">
        <v>37</v>
      </c>
    </row>
    <row r="3248" spans="1:6" ht="15.75">
      <c r="A3248" t="str">
        <f t="shared" si="50"/>
        <v>CuarnyMazoutECS</v>
      </c>
      <c r="C3248" s="148" t="s">
        <v>444</v>
      </c>
      <c r="D3248" s="148" t="s">
        <v>70</v>
      </c>
      <c r="E3248" s="148">
        <v>205935.88235293</v>
      </c>
      <c r="F3248" s="148" t="s">
        <v>37</v>
      </c>
    </row>
    <row r="3249" spans="1:6" ht="15.75">
      <c r="A3249" t="str">
        <f t="shared" si="50"/>
        <v>CuarnyNon renseignéECS</v>
      </c>
      <c r="C3249" s="148" t="s">
        <v>444</v>
      </c>
      <c r="D3249" s="148" t="s">
        <v>696</v>
      </c>
      <c r="E3249" s="148">
        <v>0</v>
      </c>
      <c r="F3249" s="148" t="s">
        <v>37</v>
      </c>
    </row>
    <row r="3250" spans="1:6" ht="15.75">
      <c r="A3250" t="str">
        <f t="shared" si="50"/>
        <v>CuarnyPACECS</v>
      </c>
      <c r="C3250" s="148" t="s">
        <v>444</v>
      </c>
      <c r="D3250" s="148" t="s">
        <v>69</v>
      </c>
      <c r="E3250" s="148">
        <v>603.07692308000003</v>
      </c>
      <c r="F3250" s="148" t="s">
        <v>37</v>
      </c>
    </row>
    <row r="3251" spans="1:6" ht="15.75">
      <c r="A3251" t="str">
        <f t="shared" si="50"/>
        <v>CuarnySolaireECS</v>
      </c>
      <c r="C3251" s="148" t="s">
        <v>444</v>
      </c>
      <c r="D3251" s="148" t="s">
        <v>240</v>
      </c>
      <c r="E3251" s="148">
        <v>63488.880000000012</v>
      </c>
      <c r="F3251" s="148" t="s">
        <v>37</v>
      </c>
    </row>
    <row r="3252" spans="1:6" ht="15.75">
      <c r="A3252" t="str">
        <f t="shared" si="50"/>
        <v>CudrefinAutre agent énergétiqueECS</v>
      </c>
      <c r="C3252" s="148" t="s">
        <v>445</v>
      </c>
      <c r="D3252" s="148" t="s">
        <v>245</v>
      </c>
      <c r="E3252" s="148">
        <v>10435.764705879999</v>
      </c>
      <c r="F3252" s="148" t="s">
        <v>37</v>
      </c>
    </row>
    <row r="3253" spans="1:6" ht="15.75">
      <c r="A3253" t="str">
        <f t="shared" si="50"/>
        <v>CudrefinBoisECS</v>
      </c>
      <c r="C3253" s="148" t="s">
        <v>445</v>
      </c>
      <c r="D3253" s="148" t="s">
        <v>66</v>
      </c>
      <c r="E3253" s="148">
        <v>103765.69411763002</v>
      </c>
      <c r="F3253" s="148" t="s">
        <v>37</v>
      </c>
    </row>
    <row r="3254" spans="1:6" ht="15.75">
      <c r="A3254" t="str">
        <f t="shared" si="50"/>
        <v>CudrefinCADECS</v>
      </c>
      <c r="C3254" s="148" t="s">
        <v>445</v>
      </c>
      <c r="D3254" s="148" t="s">
        <v>242</v>
      </c>
      <c r="E3254" s="148">
        <v>3816.4</v>
      </c>
      <c r="F3254" s="148" t="s">
        <v>37</v>
      </c>
    </row>
    <row r="3255" spans="1:6" ht="15.75">
      <c r="A3255" t="str">
        <f t="shared" si="50"/>
        <v>CudrefinElectricitéECS</v>
      </c>
      <c r="C3255" s="148" t="s">
        <v>445</v>
      </c>
      <c r="D3255" s="148" t="s">
        <v>97</v>
      </c>
      <c r="E3255" s="148">
        <v>774094.3777778598</v>
      </c>
      <c r="F3255" s="148" t="s">
        <v>37</v>
      </c>
    </row>
    <row r="3256" spans="1:6" ht="15.75">
      <c r="A3256" t="str">
        <f t="shared" si="50"/>
        <v>CudrefinGazECS</v>
      </c>
      <c r="C3256" s="148" t="s">
        <v>445</v>
      </c>
      <c r="D3256" s="148" t="s">
        <v>239</v>
      </c>
      <c r="E3256" s="148">
        <v>31471.3590793</v>
      </c>
      <c r="F3256" s="148" t="s">
        <v>37</v>
      </c>
    </row>
    <row r="3257" spans="1:6" ht="15.75">
      <c r="A3257" t="str">
        <f t="shared" si="50"/>
        <v>CudrefinMazoutECS</v>
      </c>
      <c r="C3257" s="148" t="s">
        <v>445</v>
      </c>
      <c r="D3257" s="148" t="s">
        <v>70</v>
      </c>
      <c r="E3257" s="148">
        <v>884216.22994661017</v>
      </c>
      <c r="F3257" s="148" t="s">
        <v>37</v>
      </c>
    </row>
    <row r="3258" spans="1:6" ht="15.75">
      <c r="A3258" t="str">
        <f t="shared" si="50"/>
        <v>CudrefinNon renseignéECS</v>
      </c>
      <c r="C3258" s="148" t="s">
        <v>445</v>
      </c>
      <c r="D3258" s="148" t="s">
        <v>696</v>
      </c>
      <c r="E3258" s="148">
        <v>0</v>
      </c>
      <c r="F3258" s="148" t="s">
        <v>37</v>
      </c>
    </row>
    <row r="3259" spans="1:6" ht="15.75">
      <c r="A3259" t="str">
        <f t="shared" si="50"/>
        <v>CudrefinPACECS</v>
      </c>
      <c r="C3259" s="148" t="s">
        <v>445</v>
      </c>
      <c r="D3259" s="148" t="s">
        <v>69</v>
      </c>
      <c r="E3259" s="148">
        <v>161042.76477150997</v>
      </c>
      <c r="F3259" s="148" t="s">
        <v>37</v>
      </c>
    </row>
    <row r="3260" spans="1:6" ht="15.75">
      <c r="A3260" t="str">
        <f t="shared" si="50"/>
        <v>CudrefinSolaireECS</v>
      </c>
      <c r="C3260" s="148" t="s">
        <v>445</v>
      </c>
      <c r="D3260" s="148" t="s">
        <v>240</v>
      </c>
      <c r="E3260" s="148">
        <v>334814.1999999999</v>
      </c>
      <c r="F3260" s="148" t="s">
        <v>37</v>
      </c>
    </row>
    <row r="3261" spans="1:6" ht="15.75">
      <c r="A3261" t="str">
        <f t="shared" si="50"/>
        <v>Cugy (VD)Autre agent énergétiqueECS</v>
      </c>
      <c r="C3261" s="148" t="s">
        <v>649</v>
      </c>
      <c r="D3261" s="148" t="s">
        <v>245</v>
      </c>
      <c r="E3261" s="148">
        <v>9500.2352941300014</v>
      </c>
      <c r="F3261" s="148" t="s">
        <v>37</v>
      </c>
    </row>
    <row r="3262" spans="1:6" ht="15.75">
      <c r="A3262" t="str">
        <f t="shared" si="50"/>
        <v>Cugy (VD)BoisECS</v>
      </c>
      <c r="C3262" s="148" t="s">
        <v>649</v>
      </c>
      <c r="D3262" s="148" t="s">
        <v>66</v>
      </c>
      <c r="E3262" s="148">
        <v>319877.50588235998</v>
      </c>
      <c r="F3262" s="148" t="s">
        <v>37</v>
      </c>
    </row>
    <row r="3263" spans="1:6" ht="15.75">
      <c r="A3263" t="str">
        <f t="shared" si="50"/>
        <v>Cugy (VD)CADECS</v>
      </c>
      <c r="C3263" s="148" t="s">
        <v>649</v>
      </c>
      <c r="D3263" s="148" t="s">
        <v>242</v>
      </c>
      <c r="E3263" s="148">
        <v>12700.8</v>
      </c>
      <c r="F3263" s="148" t="s">
        <v>37</v>
      </c>
    </row>
    <row r="3264" spans="1:6" ht="15.75">
      <c r="A3264" t="str">
        <f t="shared" si="50"/>
        <v>Cugy (VD)ElectricitéECS</v>
      </c>
      <c r="C3264" s="148" t="s">
        <v>649</v>
      </c>
      <c r="D3264" s="148" t="s">
        <v>97</v>
      </c>
      <c r="E3264" s="148">
        <v>514009.22222219</v>
      </c>
      <c r="F3264" s="148" t="s">
        <v>37</v>
      </c>
    </row>
    <row r="3265" spans="1:6" ht="15.75">
      <c r="A3265" t="str">
        <f t="shared" si="50"/>
        <v>Cugy (VD)GazECS</v>
      </c>
      <c r="C3265" s="148" t="s">
        <v>649</v>
      </c>
      <c r="D3265" s="148" t="s">
        <v>239</v>
      </c>
      <c r="E3265" s="148">
        <v>543288.47570328019</v>
      </c>
      <c r="F3265" s="148" t="s">
        <v>37</v>
      </c>
    </row>
    <row r="3266" spans="1:6" ht="15.75">
      <c r="A3266" t="str">
        <f t="shared" si="50"/>
        <v>Cugy (VD)MazoutECS</v>
      </c>
      <c r="C3266" s="148" t="s">
        <v>649</v>
      </c>
      <c r="D3266" s="148" t="s">
        <v>70</v>
      </c>
      <c r="E3266" s="148">
        <v>2028625.5294117895</v>
      </c>
      <c r="F3266" s="148" t="s">
        <v>37</v>
      </c>
    </row>
    <row r="3267" spans="1:6" ht="15.75">
      <c r="A3267" t="str">
        <f t="shared" si="50"/>
        <v>Cugy (VD)Non renseignéECS</v>
      </c>
      <c r="C3267" s="148" t="s">
        <v>649</v>
      </c>
      <c r="D3267" s="148" t="s">
        <v>696</v>
      </c>
      <c r="E3267" s="148">
        <v>0</v>
      </c>
      <c r="F3267" s="148" t="s">
        <v>37</v>
      </c>
    </row>
    <row r="3268" spans="1:6" ht="15.75">
      <c r="A3268" t="str">
        <f t="shared" si="50"/>
        <v>Cugy (VD)PACECS</v>
      </c>
      <c r="C3268" s="148" t="s">
        <v>649</v>
      </c>
      <c r="D3268" s="148" t="s">
        <v>69</v>
      </c>
      <c r="E3268" s="148">
        <v>46678.523225550009</v>
      </c>
      <c r="F3268" s="148" t="s">
        <v>37</v>
      </c>
    </row>
    <row r="3269" spans="1:6" ht="15.75">
      <c r="A3269" t="str">
        <f t="shared" si="50"/>
        <v>Cugy (VD)SolaireECS</v>
      </c>
      <c r="C3269" s="148" t="s">
        <v>649</v>
      </c>
      <c r="D3269" s="148" t="s">
        <v>240</v>
      </c>
      <c r="E3269" s="148">
        <v>335776.69999999995</v>
      </c>
      <c r="F3269" s="148" t="s">
        <v>37</v>
      </c>
    </row>
    <row r="3270" spans="1:6" ht="15.75">
      <c r="A3270" t="str">
        <f t="shared" si="50"/>
        <v>CurtillesBoisECS</v>
      </c>
      <c r="C3270" s="148" t="s">
        <v>446</v>
      </c>
      <c r="D3270" s="148" t="s">
        <v>66</v>
      </c>
      <c r="E3270" s="148">
        <v>103489.9764706</v>
      </c>
      <c r="F3270" s="148" t="s">
        <v>37</v>
      </c>
    </row>
    <row r="3271" spans="1:6" ht="15.75">
      <c r="A3271" t="str">
        <f t="shared" si="50"/>
        <v>CurtillesElectricitéECS</v>
      </c>
      <c r="C3271" s="148" t="s">
        <v>446</v>
      </c>
      <c r="D3271" s="148" t="s">
        <v>97</v>
      </c>
      <c r="E3271" s="148">
        <v>198532.44444444004</v>
      </c>
      <c r="F3271" s="148" t="s">
        <v>37</v>
      </c>
    </row>
    <row r="3272" spans="1:6" ht="15.75">
      <c r="A3272" t="str">
        <f t="shared" si="50"/>
        <v>CurtillesGazECS</v>
      </c>
      <c r="C3272" s="148" t="s">
        <v>446</v>
      </c>
      <c r="D3272" s="148" t="s">
        <v>239</v>
      </c>
      <c r="E3272" s="148">
        <v>26184.941176470002</v>
      </c>
      <c r="F3272" s="148" t="s">
        <v>37</v>
      </c>
    </row>
    <row r="3273" spans="1:6" ht="15.75">
      <c r="A3273" t="str">
        <f t="shared" si="50"/>
        <v>CurtillesMazoutECS</v>
      </c>
      <c r="C3273" s="148" t="s">
        <v>446</v>
      </c>
      <c r="D3273" s="148" t="s">
        <v>70</v>
      </c>
      <c r="E3273" s="148">
        <v>277188.47058825992</v>
      </c>
      <c r="F3273" s="148" t="s">
        <v>37</v>
      </c>
    </row>
    <row r="3274" spans="1:6" ht="15.75">
      <c r="A3274" t="str">
        <f t="shared" si="50"/>
        <v>CurtillesNon renseignéECS</v>
      </c>
      <c r="C3274" s="148" t="s">
        <v>446</v>
      </c>
      <c r="D3274" s="148" t="s">
        <v>696</v>
      </c>
      <c r="E3274" s="148">
        <v>0</v>
      </c>
      <c r="F3274" s="148" t="s">
        <v>37</v>
      </c>
    </row>
    <row r="3275" spans="1:6" ht="15.75">
      <c r="A3275" t="str">
        <f t="shared" ref="A3275:A3338" si="51">_xlfn.CONCAT(C3275,D3275,F3275)</f>
        <v>CurtillesPACECS</v>
      </c>
      <c r="C3275" s="148" t="s">
        <v>446</v>
      </c>
      <c r="D3275" s="148" t="s">
        <v>69</v>
      </c>
      <c r="E3275" s="148">
        <v>3355.6923076900002</v>
      </c>
      <c r="F3275" s="148" t="s">
        <v>37</v>
      </c>
    </row>
    <row r="3276" spans="1:6" ht="15.75">
      <c r="A3276" t="str">
        <f t="shared" si="51"/>
        <v>CurtillesSolaireECS</v>
      </c>
      <c r="C3276" s="148" t="s">
        <v>446</v>
      </c>
      <c r="D3276" s="148" t="s">
        <v>240</v>
      </c>
      <c r="E3276" s="148">
        <v>36885.800000000003</v>
      </c>
      <c r="F3276" s="148" t="s">
        <v>37</v>
      </c>
    </row>
    <row r="3277" spans="1:6" ht="15.75">
      <c r="A3277" t="str">
        <f t="shared" si="51"/>
        <v>DaillensAutre agent énergétiqueECS</v>
      </c>
      <c r="C3277" s="148" t="s">
        <v>447</v>
      </c>
      <c r="D3277" s="148" t="s">
        <v>245</v>
      </c>
      <c r="E3277" s="148" t="e">
        <v>#N/A</v>
      </c>
      <c r="F3277" s="148" t="s">
        <v>37</v>
      </c>
    </row>
    <row r="3278" spans="1:6" ht="15.75">
      <c r="A3278" t="str">
        <f t="shared" si="51"/>
        <v>DaillensBoisECS</v>
      </c>
      <c r="C3278" s="148" t="s">
        <v>447</v>
      </c>
      <c r="D3278" s="148" t="s">
        <v>66</v>
      </c>
      <c r="E3278" s="148">
        <v>200847.40392156996</v>
      </c>
      <c r="F3278" s="148" t="s">
        <v>37</v>
      </c>
    </row>
    <row r="3279" spans="1:6" ht="15.75">
      <c r="A3279" t="str">
        <f t="shared" si="51"/>
        <v>DaillensCADECS</v>
      </c>
      <c r="C3279" s="148" t="s">
        <v>447</v>
      </c>
      <c r="D3279" s="148" t="s">
        <v>242</v>
      </c>
      <c r="E3279" s="148">
        <v>75824</v>
      </c>
      <c r="F3279" s="148" t="s">
        <v>37</v>
      </c>
    </row>
    <row r="3280" spans="1:6" ht="15.75">
      <c r="A3280" t="str">
        <f t="shared" si="51"/>
        <v>DaillensElectricitéECS</v>
      </c>
      <c r="C3280" s="148" t="s">
        <v>447</v>
      </c>
      <c r="D3280" s="148" t="s">
        <v>97</v>
      </c>
      <c r="E3280" s="148">
        <v>263080.22222223005</v>
      </c>
      <c r="F3280" s="148" t="s">
        <v>37</v>
      </c>
    </row>
    <row r="3281" spans="1:6" ht="15.75">
      <c r="A3281" t="str">
        <f t="shared" si="51"/>
        <v>DaillensGazECS</v>
      </c>
      <c r="C3281" s="148" t="s">
        <v>447</v>
      </c>
      <c r="D3281" s="148" t="s">
        <v>239</v>
      </c>
      <c r="E3281" s="148">
        <v>65317.483375949996</v>
      </c>
      <c r="F3281" s="148" t="s">
        <v>37</v>
      </c>
    </row>
    <row r="3282" spans="1:6" ht="15.75">
      <c r="A3282" t="str">
        <f t="shared" si="51"/>
        <v>DaillensMazoutECS</v>
      </c>
      <c r="C3282" s="148" t="s">
        <v>447</v>
      </c>
      <c r="D3282" s="148" t="s">
        <v>70</v>
      </c>
      <c r="E3282" s="148">
        <v>813218.82352940005</v>
      </c>
      <c r="F3282" s="148" t="s">
        <v>37</v>
      </c>
    </row>
    <row r="3283" spans="1:6" ht="15.75">
      <c r="A3283" t="str">
        <f t="shared" si="51"/>
        <v>DaillensNon renseignéECS</v>
      </c>
      <c r="C3283" s="148" t="s">
        <v>447</v>
      </c>
      <c r="D3283" s="148" t="s">
        <v>696</v>
      </c>
      <c r="E3283" s="148">
        <v>0</v>
      </c>
      <c r="F3283" s="148" t="s">
        <v>37</v>
      </c>
    </row>
    <row r="3284" spans="1:6" ht="15.75">
      <c r="A3284" t="str">
        <f t="shared" si="51"/>
        <v>DaillensPACECS</v>
      </c>
      <c r="C3284" s="148" t="s">
        <v>447</v>
      </c>
      <c r="D3284" s="148" t="s">
        <v>69</v>
      </c>
      <c r="E3284" s="148">
        <v>46219.110615620004</v>
      </c>
      <c r="F3284" s="148" t="s">
        <v>37</v>
      </c>
    </row>
    <row r="3285" spans="1:6" ht="15.75">
      <c r="A3285" t="str">
        <f t="shared" si="51"/>
        <v>DaillensSolaireECS</v>
      </c>
      <c r="C3285" s="148" t="s">
        <v>447</v>
      </c>
      <c r="D3285" s="148" t="s">
        <v>240</v>
      </c>
      <c r="E3285" s="148">
        <v>133947.79999999999</v>
      </c>
      <c r="F3285" s="148" t="s">
        <v>37</v>
      </c>
    </row>
    <row r="3286" spans="1:6" ht="15.75">
      <c r="A3286" t="str">
        <f t="shared" si="51"/>
        <v>DémoretBoisECS</v>
      </c>
      <c r="C3286" s="148" t="s">
        <v>648</v>
      </c>
      <c r="D3286" s="148" t="s">
        <v>66</v>
      </c>
      <c r="E3286" s="148">
        <v>172995.19999999</v>
      </c>
      <c r="F3286" s="148" t="s">
        <v>37</v>
      </c>
    </row>
    <row r="3287" spans="1:6" ht="15.75">
      <c r="A3287" t="str">
        <f t="shared" si="51"/>
        <v>DémoretCADECS</v>
      </c>
      <c r="C3287" s="148" t="s">
        <v>648</v>
      </c>
      <c r="D3287" s="148" t="s">
        <v>242</v>
      </c>
      <c r="E3287" s="148">
        <v>5661.6</v>
      </c>
      <c r="F3287" s="148" t="s">
        <v>37</v>
      </c>
    </row>
    <row r="3288" spans="1:6" ht="15.75">
      <c r="A3288" t="str">
        <f t="shared" si="51"/>
        <v>DémoretElectricitéECS</v>
      </c>
      <c r="C3288" s="148" t="s">
        <v>648</v>
      </c>
      <c r="D3288" s="148" t="s">
        <v>97</v>
      </c>
      <c r="E3288" s="148">
        <v>42087.111111120001</v>
      </c>
      <c r="F3288" s="148" t="s">
        <v>37</v>
      </c>
    </row>
    <row r="3289" spans="1:6" ht="15.75">
      <c r="A3289" t="str">
        <f t="shared" si="51"/>
        <v>DémoretGazECS</v>
      </c>
      <c r="C3289" s="148" t="s">
        <v>648</v>
      </c>
      <c r="D3289" s="148" t="s">
        <v>239</v>
      </c>
      <c r="E3289" s="148">
        <v>37625.125319689992</v>
      </c>
      <c r="F3289" s="148" t="s">
        <v>37</v>
      </c>
    </row>
    <row r="3290" spans="1:6" ht="15.75">
      <c r="A3290" t="str">
        <f t="shared" si="51"/>
        <v>DémoretMazoutECS</v>
      </c>
      <c r="C3290" s="148" t="s">
        <v>648</v>
      </c>
      <c r="D3290" s="148" t="s">
        <v>70</v>
      </c>
      <c r="E3290" s="148">
        <v>100518.68235295</v>
      </c>
      <c r="F3290" s="148" t="s">
        <v>37</v>
      </c>
    </row>
    <row r="3291" spans="1:6" ht="15.75">
      <c r="A3291" t="str">
        <f t="shared" si="51"/>
        <v>DémoretNon renseignéECS</v>
      </c>
      <c r="C3291" s="148" t="s">
        <v>648</v>
      </c>
      <c r="D3291" s="148" t="s">
        <v>696</v>
      </c>
      <c r="E3291" s="148">
        <v>0</v>
      </c>
      <c r="F3291" s="148" t="s">
        <v>37</v>
      </c>
    </row>
    <row r="3292" spans="1:6" ht="15.75">
      <c r="A3292" t="str">
        <f t="shared" si="51"/>
        <v>DémoretPACECS</v>
      </c>
      <c r="C3292" s="148" t="s">
        <v>648</v>
      </c>
      <c r="D3292" s="148" t="s">
        <v>69</v>
      </c>
      <c r="E3292" s="148" t="e">
        <v>#N/A</v>
      </c>
      <c r="F3292" s="148" t="s">
        <v>37</v>
      </c>
    </row>
    <row r="3293" spans="1:6" ht="15.75">
      <c r="A3293" t="str">
        <f t="shared" si="51"/>
        <v>DémoretSolaireECS</v>
      </c>
      <c r="C3293" s="148" t="s">
        <v>648</v>
      </c>
      <c r="D3293" s="148" t="s">
        <v>240</v>
      </c>
      <c r="E3293" s="148">
        <v>35680.400000000001</v>
      </c>
      <c r="F3293" s="148" t="s">
        <v>37</v>
      </c>
    </row>
    <row r="3294" spans="1:6" ht="15.75">
      <c r="A3294" t="str">
        <f t="shared" si="51"/>
        <v>DenensAutre agent énergétiqueECS</v>
      </c>
      <c r="C3294" s="148" t="s">
        <v>448</v>
      </c>
      <c r="D3294" s="148" t="s">
        <v>245</v>
      </c>
      <c r="E3294" s="148">
        <v>4526.1176470600003</v>
      </c>
      <c r="F3294" s="148" t="s">
        <v>37</v>
      </c>
    </row>
    <row r="3295" spans="1:6" ht="15.75">
      <c r="A3295" t="str">
        <f t="shared" si="51"/>
        <v>DenensBoisECS</v>
      </c>
      <c r="C3295" s="148" t="s">
        <v>448</v>
      </c>
      <c r="D3295" s="148" t="s">
        <v>66</v>
      </c>
      <c r="E3295" s="148">
        <v>55494.901960789997</v>
      </c>
      <c r="F3295" s="148" t="s">
        <v>37</v>
      </c>
    </row>
    <row r="3296" spans="1:6" ht="15.75">
      <c r="A3296" t="str">
        <f t="shared" si="51"/>
        <v>DenensElectricitéECS</v>
      </c>
      <c r="C3296" s="148" t="s">
        <v>448</v>
      </c>
      <c r="D3296" s="148" t="s">
        <v>97</v>
      </c>
      <c r="E3296" s="148">
        <v>218350.22222222999</v>
      </c>
      <c r="F3296" s="148" t="s">
        <v>37</v>
      </c>
    </row>
    <row r="3297" spans="1:6" ht="15.75">
      <c r="A3297" t="str">
        <f t="shared" si="51"/>
        <v>DenensGazECS</v>
      </c>
      <c r="C3297" s="148" t="s">
        <v>448</v>
      </c>
      <c r="D3297" s="148" t="s">
        <v>239</v>
      </c>
      <c r="E3297" s="148">
        <v>469507.52685417997</v>
      </c>
      <c r="F3297" s="148" t="s">
        <v>37</v>
      </c>
    </row>
    <row r="3298" spans="1:6" ht="15.75">
      <c r="A3298" t="str">
        <f t="shared" si="51"/>
        <v>DenensMazoutECS</v>
      </c>
      <c r="C3298" s="148" t="s">
        <v>448</v>
      </c>
      <c r="D3298" s="148" t="s">
        <v>70</v>
      </c>
      <c r="E3298" s="148">
        <v>498915.52941176994</v>
      </c>
      <c r="F3298" s="148" t="s">
        <v>37</v>
      </c>
    </row>
    <row r="3299" spans="1:6" ht="15.75">
      <c r="A3299" t="str">
        <f t="shared" si="51"/>
        <v>DenensNon renseignéECS</v>
      </c>
      <c r="C3299" s="148" t="s">
        <v>448</v>
      </c>
      <c r="D3299" s="148" t="s">
        <v>696</v>
      </c>
      <c r="E3299" s="148">
        <v>0</v>
      </c>
      <c r="F3299" s="148" t="s">
        <v>37</v>
      </c>
    </row>
    <row r="3300" spans="1:6" ht="15.75">
      <c r="A3300" t="str">
        <f t="shared" si="51"/>
        <v>DenensPACECS</v>
      </c>
      <c r="C3300" s="148" t="s">
        <v>448</v>
      </c>
      <c r="D3300" s="148" t="s">
        <v>69</v>
      </c>
      <c r="E3300" s="148">
        <v>6596.8319088299995</v>
      </c>
      <c r="F3300" s="148" t="s">
        <v>37</v>
      </c>
    </row>
    <row r="3301" spans="1:6" ht="15.75">
      <c r="A3301" t="str">
        <f t="shared" si="51"/>
        <v>DenensSolaireECS</v>
      </c>
      <c r="C3301" s="148" t="s">
        <v>448</v>
      </c>
      <c r="D3301" s="148" t="s">
        <v>240</v>
      </c>
      <c r="E3301" s="148">
        <v>61896.80000000001</v>
      </c>
      <c r="F3301" s="148" t="s">
        <v>37</v>
      </c>
    </row>
    <row r="3302" spans="1:6" ht="15.75">
      <c r="A3302" t="str">
        <f t="shared" si="51"/>
        <v>DengesBoisECS</v>
      </c>
      <c r="C3302" s="148" t="s">
        <v>449</v>
      </c>
      <c r="D3302" s="148" t="s">
        <v>66</v>
      </c>
      <c r="E3302" s="148">
        <v>41858.133333329999</v>
      </c>
      <c r="F3302" s="148" t="s">
        <v>37</v>
      </c>
    </row>
    <row r="3303" spans="1:6" ht="15.75">
      <c r="A3303" t="str">
        <f t="shared" si="51"/>
        <v>DengesElectricitéECS</v>
      </c>
      <c r="C3303" s="148" t="s">
        <v>449</v>
      </c>
      <c r="D3303" s="148" t="s">
        <v>97</v>
      </c>
      <c r="E3303" s="148">
        <v>193624.66666669</v>
      </c>
      <c r="F3303" s="148" t="s">
        <v>37</v>
      </c>
    </row>
    <row r="3304" spans="1:6" ht="15.75">
      <c r="A3304" t="str">
        <f t="shared" si="51"/>
        <v>DengesGazECS</v>
      </c>
      <c r="C3304" s="148" t="s">
        <v>449</v>
      </c>
      <c r="D3304" s="148" t="s">
        <v>239</v>
      </c>
      <c r="E3304" s="148">
        <v>768118.52173920034</v>
      </c>
      <c r="F3304" s="148" t="s">
        <v>37</v>
      </c>
    </row>
    <row r="3305" spans="1:6" ht="15.75">
      <c r="A3305" t="str">
        <f t="shared" si="51"/>
        <v>DengesMazoutECS</v>
      </c>
      <c r="C3305" s="148" t="s">
        <v>449</v>
      </c>
      <c r="D3305" s="148" t="s">
        <v>70</v>
      </c>
      <c r="E3305" s="148">
        <v>860318.11764712026</v>
      </c>
      <c r="F3305" s="148" t="s">
        <v>37</v>
      </c>
    </row>
    <row r="3306" spans="1:6" ht="15.75">
      <c r="A3306" t="str">
        <f t="shared" si="51"/>
        <v>DengesNon renseignéECS</v>
      </c>
      <c r="C3306" s="148" t="s">
        <v>449</v>
      </c>
      <c r="D3306" s="148" t="s">
        <v>696</v>
      </c>
      <c r="E3306" s="148">
        <v>0</v>
      </c>
      <c r="F3306" s="148" t="s">
        <v>37</v>
      </c>
    </row>
    <row r="3307" spans="1:6" ht="15.75">
      <c r="A3307" t="str">
        <f t="shared" si="51"/>
        <v>DengesPACECS</v>
      </c>
      <c r="C3307" s="148" t="s">
        <v>449</v>
      </c>
      <c r="D3307" s="148" t="s">
        <v>69</v>
      </c>
      <c r="E3307" s="148">
        <v>7212.8509847700007</v>
      </c>
      <c r="F3307" s="148" t="s">
        <v>37</v>
      </c>
    </row>
    <row r="3308" spans="1:6" ht="15.75">
      <c r="A3308" t="str">
        <f t="shared" si="51"/>
        <v>DengesSolaireECS</v>
      </c>
      <c r="C3308" s="148" t="s">
        <v>449</v>
      </c>
      <c r="D3308" s="148" t="s">
        <v>240</v>
      </c>
      <c r="E3308" s="148">
        <v>52738</v>
      </c>
      <c r="F3308" s="148" t="s">
        <v>37</v>
      </c>
    </row>
    <row r="3309" spans="1:6" ht="15.75">
      <c r="A3309" t="str">
        <f t="shared" si="51"/>
        <v>DizyBoisECS</v>
      </c>
      <c r="C3309" s="148" t="s">
        <v>450</v>
      </c>
      <c r="D3309" s="148" t="s">
        <v>66</v>
      </c>
      <c r="E3309" s="148">
        <v>41947.733333330005</v>
      </c>
      <c r="F3309" s="148" t="s">
        <v>37</v>
      </c>
    </row>
    <row r="3310" spans="1:6" ht="15.75">
      <c r="A3310" t="str">
        <f t="shared" si="51"/>
        <v>DizyElectricitéECS</v>
      </c>
      <c r="C3310" s="148" t="s">
        <v>450</v>
      </c>
      <c r="D3310" s="148" t="s">
        <v>97</v>
      </c>
      <c r="E3310" s="148">
        <v>120474.66666666997</v>
      </c>
      <c r="F3310" s="148" t="s">
        <v>37</v>
      </c>
    </row>
    <row r="3311" spans="1:6" ht="15.75">
      <c r="A3311" t="str">
        <f t="shared" si="51"/>
        <v>DizyGazECS</v>
      </c>
      <c r="C3311" s="148" t="s">
        <v>450</v>
      </c>
      <c r="D3311" s="148" t="s">
        <v>239</v>
      </c>
      <c r="E3311" s="148">
        <v>198475.52941175993</v>
      </c>
      <c r="F3311" s="148" t="s">
        <v>37</v>
      </c>
    </row>
    <row r="3312" spans="1:6" ht="15.75">
      <c r="A3312" t="str">
        <f t="shared" si="51"/>
        <v>DizyMazoutECS</v>
      </c>
      <c r="C3312" s="148" t="s">
        <v>450</v>
      </c>
      <c r="D3312" s="148" t="s">
        <v>70</v>
      </c>
      <c r="E3312" s="148">
        <v>39068.235294109996</v>
      </c>
      <c r="F3312" s="148" t="s">
        <v>37</v>
      </c>
    </row>
    <row r="3313" spans="1:6" ht="15.75">
      <c r="A3313" t="str">
        <f t="shared" si="51"/>
        <v>DizyNon renseignéECS</v>
      </c>
      <c r="C3313" s="148" t="s">
        <v>450</v>
      </c>
      <c r="D3313" s="148" t="s">
        <v>696</v>
      </c>
      <c r="E3313" s="148">
        <v>0</v>
      </c>
      <c r="F3313" s="148" t="s">
        <v>37</v>
      </c>
    </row>
    <row r="3314" spans="1:6" ht="15.75">
      <c r="A3314" t="str">
        <f t="shared" si="51"/>
        <v>DizyPACECS</v>
      </c>
      <c r="C3314" s="148" t="s">
        <v>450</v>
      </c>
      <c r="D3314" s="148" t="s">
        <v>69</v>
      </c>
      <c r="E3314" s="148">
        <v>6268.5538461699998</v>
      </c>
      <c r="F3314" s="148" t="s">
        <v>37</v>
      </c>
    </row>
    <row r="3315" spans="1:6" ht="15.75">
      <c r="A3315" t="str">
        <f t="shared" si="51"/>
        <v>DizySolaireECS</v>
      </c>
      <c r="C3315" s="148" t="s">
        <v>450</v>
      </c>
      <c r="D3315" s="148" t="s">
        <v>240</v>
      </c>
      <c r="E3315" s="148">
        <v>15081.780000000002</v>
      </c>
      <c r="F3315" s="148" t="s">
        <v>37</v>
      </c>
    </row>
    <row r="3316" spans="1:6" ht="15.75">
      <c r="A3316" t="str">
        <f t="shared" si="51"/>
        <v>Dompierre (VD)BoisECS</v>
      </c>
      <c r="C3316" s="148" t="s">
        <v>647</v>
      </c>
      <c r="D3316" s="148" t="s">
        <v>66</v>
      </c>
      <c r="E3316" s="148">
        <v>143635.05882352</v>
      </c>
      <c r="F3316" s="148" t="s">
        <v>37</v>
      </c>
    </row>
    <row r="3317" spans="1:6" ht="15.75">
      <c r="A3317" t="str">
        <f t="shared" si="51"/>
        <v>Dompierre (VD)ElectricitéECS</v>
      </c>
      <c r="C3317" s="148" t="s">
        <v>647</v>
      </c>
      <c r="D3317" s="148" t="s">
        <v>97</v>
      </c>
      <c r="E3317" s="148">
        <v>216810.22222223002</v>
      </c>
      <c r="F3317" s="148" t="s">
        <v>37</v>
      </c>
    </row>
    <row r="3318" spans="1:6" ht="15.75">
      <c r="A3318" t="str">
        <f t="shared" si="51"/>
        <v>Dompierre (VD)GazECS</v>
      </c>
      <c r="C3318" s="148" t="s">
        <v>647</v>
      </c>
      <c r="D3318" s="148" t="s">
        <v>239</v>
      </c>
      <c r="E3318" s="148">
        <v>49782.388746789999</v>
      </c>
      <c r="F3318" s="148" t="s">
        <v>37</v>
      </c>
    </row>
    <row r="3319" spans="1:6" ht="15.75">
      <c r="A3319" t="str">
        <f t="shared" si="51"/>
        <v>Dompierre (VD)MazoutECS</v>
      </c>
      <c r="C3319" s="148" t="s">
        <v>647</v>
      </c>
      <c r="D3319" s="148" t="s">
        <v>70</v>
      </c>
      <c r="E3319" s="148">
        <v>225184.23529412001</v>
      </c>
      <c r="F3319" s="148" t="s">
        <v>37</v>
      </c>
    </row>
    <row r="3320" spans="1:6" ht="15.75">
      <c r="A3320" t="str">
        <f t="shared" si="51"/>
        <v>Dompierre (VD)Non renseignéECS</v>
      </c>
      <c r="C3320" s="148" t="s">
        <v>647</v>
      </c>
      <c r="D3320" s="148" t="s">
        <v>696</v>
      </c>
      <c r="E3320" s="148">
        <v>0</v>
      </c>
      <c r="F3320" s="148" t="s">
        <v>37</v>
      </c>
    </row>
    <row r="3321" spans="1:6" ht="15.75">
      <c r="A3321" t="str">
        <f t="shared" si="51"/>
        <v>Dompierre (VD)PACECS</v>
      </c>
      <c r="C3321" s="148" t="s">
        <v>647</v>
      </c>
      <c r="D3321" s="148" t="s">
        <v>69</v>
      </c>
      <c r="E3321" s="148">
        <v>6440</v>
      </c>
      <c r="F3321" s="148" t="s">
        <v>37</v>
      </c>
    </row>
    <row r="3322" spans="1:6" ht="15.75">
      <c r="A3322" t="str">
        <f t="shared" si="51"/>
        <v>Dompierre (VD)SolaireECS</v>
      </c>
      <c r="C3322" s="148" t="s">
        <v>647</v>
      </c>
      <c r="D3322" s="148" t="s">
        <v>240</v>
      </c>
      <c r="E3322" s="148">
        <v>6384</v>
      </c>
      <c r="F3322" s="148" t="s">
        <v>37</v>
      </c>
    </row>
    <row r="3323" spans="1:6" ht="15.75">
      <c r="A3323" t="str">
        <f t="shared" si="51"/>
        <v>DonneloyeBoisECS</v>
      </c>
      <c r="C3323" s="148" t="s">
        <v>451</v>
      </c>
      <c r="D3323" s="148" t="s">
        <v>66</v>
      </c>
      <c r="E3323" s="148">
        <v>196797.83529411006</v>
      </c>
      <c r="F3323" s="148" t="s">
        <v>37</v>
      </c>
    </row>
    <row r="3324" spans="1:6" ht="15.75">
      <c r="A3324" t="str">
        <f t="shared" si="51"/>
        <v>DonneloyeCADECS</v>
      </c>
      <c r="C3324" s="148" t="s">
        <v>451</v>
      </c>
      <c r="D3324" s="148" t="s">
        <v>242</v>
      </c>
      <c r="E3324" s="148" t="e">
        <v>#N/A</v>
      </c>
      <c r="F3324" s="148" t="s">
        <v>37</v>
      </c>
    </row>
    <row r="3325" spans="1:6" ht="15.75">
      <c r="A3325" t="str">
        <f t="shared" si="51"/>
        <v>DonneloyeElectricitéECS</v>
      </c>
      <c r="C3325" s="148" t="s">
        <v>451</v>
      </c>
      <c r="D3325" s="148" t="s">
        <v>97</v>
      </c>
      <c r="E3325" s="148">
        <v>323037.55555555003</v>
      </c>
      <c r="F3325" s="148" t="s">
        <v>37</v>
      </c>
    </row>
    <row r="3326" spans="1:6" ht="15.75">
      <c r="A3326" t="str">
        <f t="shared" si="51"/>
        <v>DonneloyeGazECS</v>
      </c>
      <c r="C3326" s="148" t="s">
        <v>451</v>
      </c>
      <c r="D3326" s="148" t="s">
        <v>239</v>
      </c>
      <c r="E3326" s="148">
        <v>75380.690537090006</v>
      </c>
      <c r="F3326" s="148" t="s">
        <v>37</v>
      </c>
    </row>
    <row r="3327" spans="1:6" ht="15.75">
      <c r="A3327" t="str">
        <f t="shared" si="51"/>
        <v>DonneloyeMazoutECS</v>
      </c>
      <c r="C3327" s="148" t="s">
        <v>451</v>
      </c>
      <c r="D3327" s="148" t="s">
        <v>70</v>
      </c>
      <c r="E3327" s="148">
        <v>520618.82352945989</v>
      </c>
      <c r="F3327" s="148" t="s">
        <v>37</v>
      </c>
    </row>
    <row r="3328" spans="1:6" ht="15.75">
      <c r="A3328" t="str">
        <f t="shared" si="51"/>
        <v>DonneloyeNon renseignéECS</v>
      </c>
      <c r="C3328" s="148" t="s">
        <v>451</v>
      </c>
      <c r="D3328" s="148" t="s">
        <v>696</v>
      </c>
      <c r="E3328" s="148">
        <v>0</v>
      </c>
      <c r="F3328" s="148" t="s">
        <v>37</v>
      </c>
    </row>
    <row r="3329" spans="1:6" ht="15.75">
      <c r="A3329" t="str">
        <f t="shared" si="51"/>
        <v>DonneloyePACECS</v>
      </c>
      <c r="C3329" s="148" t="s">
        <v>451</v>
      </c>
      <c r="D3329" s="148" t="s">
        <v>69</v>
      </c>
      <c r="E3329" s="148">
        <v>18126.628762560002</v>
      </c>
      <c r="F3329" s="148" t="s">
        <v>37</v>
      </c>
    </row>
    <row r="3330" spans="1:6" ht="15.75">
      <c r="A3330" t="str">
        <f t="shared" si="51"/>
        <v>DonneloyeSolaireECS</v>
      </c>
      <c r="C3330" s="148" t="s">
        <v>451</v>
      </c>
      <c r="D3330" s="148" t="s">
        <v>240</v>
      </c>
      <c r="E3330" s="148">
        <v>184009</v>
      </c>
      <c r="F3330" s="148" t="s">
        <v>37</v>
      </c>
    </row>
    <row r="3331" spans="1:6" ht="15.75">
      <c r="A3331" t="str">
        <f t="shared" si="51"/>
        <v>DuillierAutre agent énergétiqueECS</v>
      </c>
      <c r="C3331" s="148" t="s">
        <v>452</v>
      </c>
      <c r="D3331" s="148" t="s">
        <v>245</v>
      </c>
      <c r="E3331" s="148">
        <v>1133.17647059</v>
      </c>
      <c r="F3331" s="148" t="s">
        <v>37</v>
      </c>
    </row>
    <row r="3332" spans="1:6" ht="15.75">
      <c r="A3332" t="str">
        <f t="shared" si="51"/>
        <v>DuillierBoisECS</v>
      </c>
      <c r="C3332" s="148" t="s">
        <v>452</v>
      </c>
      <c r="D3332" s="148" t="s">
        <v>66</v>
      </c>
      <c r="E3332" s="148">
        <v>16023.02745098</v>
      </c>
      <c r="F3332" s="148" t="s">
        <v>37</v>
      </c>
    </row>
    <row r="3333" spans="1:6" ht="15.75">
      <c r="A3333" t="str">
        <f t="shared" si="51"/>
        <v>DuillierCADECS</v>
      </c>
      <c r="C3333" s="148" t="s">
        <v>452</v>
      </c>
      <c r="D3333" s="148" t="s">
        <v>242</v>
      </c>
      <c r="E3333" s="148">
        <v>2464</v>
      </c>
      <c r="F3333" s="148" t="s">
        <v>37</v>
      </c>
    </row>
    <row r="3334" spans="1:6" ht="15.75">
      <c r="A3334" t="str">
        <f t="shared" si="51"/>
        <v>DuillierElectricitéECS</v>
      </c>
      <c r="C3334" s="148" t="s">
        <v>452</v>
      </c>
      <c r="D3334" s="148" t="s">
        <v>97</v>
      </c>
      <c r="E3334" s="148">
        <v>364077.77777777001</v>
      </c>
      <c r="F3334" s="148" t="s">
        <v>37</v>
      </c>
    </row>
    <row r="3335" spans="1:6" ht="15.75">
      <c r="A3335" t="str">
        <f t="shared" si="51"/>
        <v>DuillierGazECS</v>
      </c>
      <c r="C3335" s="148" t="s">
        <v>452</v>
      </c>
      <c r="D3335" s="148" t="s">
        <v>239</v>
      </c>
      <c r="E3335" s="148">
        <v>723730.25063942</v>
      </c>
      <c r="F3335" s="148" t="s">
        <v>37</v>
      </c>
    </row>
    <row r="3336" spans="1:6" ht="15.75">
      <c r="A3336" t="str">
        <f t="shared" si="51"/>
        <v>DuillierMazoutECS</v>
      </c>
      <c r="C3336" s="148" t="s">
        <v>452</v>
      </c>
      <c r="D3336" s="148" t="s">
        <v>70</v>
      </c>
      <c r="E3336" s="148">
        <v>453664.2352941102</v>
      </c>
      <c r="F3336" s="148" t="s">
        <v>37</v>
      </c>
    </row>
    <row r="3337" spans="1:6" ht="15.75">
      <c r="A3337" t="str">
        <f t="shared" si="51"/>
        <v>DuillierNon renseignéECS</v>
      </c>
      <c r="C3337" s="148" t="s">
        <v>452</v>
      </c>
      <c r="D3337" s="148" t="s">
        <v>696</v>
      </c>
      <c r="E3337" s="148">
        <v>0</v>
      </c>
      <c r="F3337" s="148" t="s">
        <v>37</v>
      </c>
    </row>
    <row r="3338" spans="1:6" ht="15.75">
      <c r="A3338" t="str">
        <f t="shared" si="51"/>
        <v>DuillierPACECS</v>
      </c>
      <c r="C3338" s="148" t="s">
        <v>452</v>
      </c>
      <c r="D3338" s="148" t="s">
        <v>69</v>
      </c>
      <c r="E3338" s="148">
        <v>20470.630744460002</v>
      </c>
      <c r="F3338" s="148" t="s">
        <v>37</v>
      </c>
    </row>
    <row r="3339" spans="1:6" ht="15.75">
      <c r="A3339" t="str">
        <f t="shared" ref="A3339:A3402" si="52">_xlfn.CONCAT(C3339,D3339,F3339)</f>
        <v>DuillierSolaireECS</v>
      </c>
      <c r="C3339" s="148" t="s">
        <v>452</v>
      </c>
      <c r="D3339" s="148" t="s">
        <v>240</v>
      </c>
      <c r="E3339" s="148">
        <v>64414</v>
      </c>
      <c r="F3339" s="148" t="s">
        <v>37</v>
      </c>
    </row>
    <row r="3340" spans="1:6" ht="15.75">
      <c r="A3340" t="str">
        <f t="shared" si="52"/>
        <v>DullyBoisECS</v>
      </c>
      <c r="C3340" s="148" t="s">
        <v>453</v>
      </c>
      <c r="D3340" s="148" t="s">
        <v>66</v>
      </c>
      <c r="E3340" s="148">
        <v>100658.13333333</v>
      </c>
      <c r="F3340" s="148" t="s">
        <v>37</v>
      </c>
    </row>
    <row r="3341" spans="1:6" ht="15.75">
      <c r="A3341" t="str">
        <f t="shared" si="52"/>
        <v>DullyElectricitéECS</v>
      </c>
      <c r="C3341" s="148" t="s">
        <v>453</v>
      </c>
      <c r="D3341" s="148" t="s">
        <v>97</v>
      </c>
      <c r="E3341" s="148">
        <v>185734.88888889991</v>
      </c>
      <c r="F3341" s="148" t="s">
        <v>37</v>
      </c>
    </row>
    <row r="3342" spans="1:6" ht="15.75">
      <c r="A3342" t="str">
        <f t="shared" si="52"/>
        <v>DullyGazECS</v>
      </c>
      <c r="C3342" s="148" t="s">
        <v>453</v>
      </c>
      <c r="D3342" s="148" t="s">
        <v>239</v>
      </c>
      <c r="E3342" s="148">
        <v>21411.76470589</v>
      </c>
      <c r="F3342" s="148" t="s">
        <v>37</v>
      </c>
    </row>
    <row r="3343" spans="1:6" ht="15.75">
      <c r="A3343" t="str">
        <f t="shared" si="52"/>
        <v>DullyMazoutECS</v>
      </c>
      <c r="C3343" s="148" t="s">
        <v>453</v>
      </c>
      <c r="D3343" s="148" t="s">
        <v>70</v>
      </c>
      <c r="E3343" s="148">
        <v>528406.19999999017</v>
      </c>
      <c r="F3343" s="148" t="s">
        <v>37</v>
      </c>
    </row>
    <row r="3344" spans="1:6" ht="15.75">
      <c r="A3344" t="str">
        <f t="shared" si="52"/>
        <v>DullyNon renseignéECS</v>
      </c>
      <c r="C3344" s="148" t="s">
        <v>453</v>
      </c>
      <c r="D3344" s="148" t="s">
        <v>696</v>
      </c>
      <c r="E3344" s="148">
        <v>0</v>
      </c>
      <c r="F3344" s="148" t="s">
        <v>37</v>
      </c>
    </row>
    <row r="3345" spans="1:6" ht="15.75">
      <c r="A3345" t="str">
        <f t="shared" si="52"/>
        <v>DullyPACECS</v>
      </c>
      <c r="C3345" s="148" t="s">
        <v>453</v>
      </c>
      <c r="D3345" s="148" t="s">
        <v>69</v>
      </c>
      <c r="E3345" s="148">
        <v>86720.376192249983</v>
      </c>
      <c r="F3345" s="148" t="s">
        <v>37</v>
      </c>
    </row>
    <row r="3346" spans="1:6" ht="15.75">
      <c r="A3346" t="str">
        <f t="shared" si="52"/>
        <v>DullySolaireECS</v>
      </c>
      <c r="C3346" s="148" t="s">
        <v>453</v>
      </c>
      <c r="D3346" s="148" t="s">
        <v>240</v>
      </c>
      <c r="E3346" s="148">
        <v>34440</v>
      </c>
      <c r="F3346" s="148" t="s">
        <v>37</v>
      </c>
    </row>
    <row r="3347" spans="1:6" ht="15.75">
      <c r="A3347" t="str">
        <f t="shared" si="52"/>
        <v>EchallensAutre agent énergétiqueECS</v>
      </c>
      <c r="C3347" s="148" t="s">
        <v>454</v>
      </c>
      <c r="D3347" s="148" t="s">
        <v>245</v>
      </c>
      <c r="E3347" s="148">
        <v>2898.82352941</v>
      </c>
      <c r="F3347" s="148" t="s">
        <v>37</v>
      </c>
    </row>
    <row r="3348" spans="1:6" ht="15.75">
      <c r="A3348" t="str">
        <f t="shared" si="52"/>
        <v>EchallensBoisECS</v>
      </c>
      <c r="C3348" s="148" t="s">
        <v>454</v>
      </c>
      <c r="D3348" s="148" t="s">
        <v>66</v>
      </c>
      <c r="E3348" s="148">
        <v>239029.85098039999</v>
      </c>
      <c r="F3348" s="148" t="s">
        <v>37</v>
      </c>
    </row>
    <row r="3349" spans="1:6" ht="15.75">
      <c r="A3349" t="str">
        <f t="shared" si="52"/>
        <v>EchallensCADECS</v>
      </c>
      <c r="C3349" s="148" t="s">
        <v>454</v>
      </c>
      <c r="D3349" s="148" t="s">
        <v>242</v>
      </c>
      <c r="E3349" s="148">
        <v>6148.8</v>
      </c>
      <c r="F3349" s="148" t="s">
        <v>37</v>
      </c>
    </row>
    <row r="3350" spans="1:6" ht="15.75">
      <c r="A3350" t="str">
        <f t="shared" si="52"/>
        <v>EchallensCharbonECS</v>
      </c>
      <c r="C3350" s="148" t="s">
        <v>454</v>
      </c>
      <c r="D3350" s="148" t="s">
        <v>695</v>
      </c>
      <c r="E3350" s="148" t="e">
        <v>#N/A</v>
      </c>
      <c r="F3350" s="148" t="s">
        <v>37</v>
      </c>
    </row>
    <row r="3351" spans="1:6" ht="15.75">
      <c r="A3351" t="str">
        <f t="shared" si="52"/>
        <v>EchallensElectricitéECS</v>
      </c>
      <c r="C3351" s="148" t="s">
        <v>454</v>
      </c>
      <c r="D3351" s="148" t="s">
        <v>97</v>
      </c>
      <c r="E3351" s="148">
        <v>1008150.11111118</v>
      </c>
      <c r="F3351" s="148" t="s">
        <v>37</v>
      </c>
    </row>
    <row r="3352" spans="1:6" ht="15.75">
      <c r="A3352" t="str">
        <f t="shared" si="52"/>
        <v>EchallensGazECS</v>
      </c>
      <c r="C3352" s="148" t="s">
        <v>454</v>
      </c>
      <c r="D3352" s="148" t="s">
        <v>239</v>
      </c>
      <c r="E3352" s="148">
        <v>2699245.6314578285</v>
      </c>
      <c r="F3352" s="148" t="s">
        <v>37</v>
      </c>
    </row>
    <row r="3353" spans="1:6" ht="15.75">
      <c r="A3353" t="str">
        <f t="shared" si="52"/>
        <v>EchallensMazoutECS</v>
      </c>
      <c r="C3353" s="148" t="s">
        <v>454</v>
      </c>
      <c r="D3353" s="148" t="s">
        <v>70</v>
      </c>
      <c r="E3353" s="148">
        <v>2630675.9294118313</v>
      </c>
      <c r="F3353" s="148" t="s">
        <v>37</v>
      </c>
    </row>
    <row r="3354" spans="1:6" ht="15.75">
      <c r="A3354" t="str">
        <f t="shared" si="52"/>
        <v>EchallensNon renseignéECS</v>
      </c>
      <c r="C3354" s="148" t="s">
        <v>454</v>
      </c>
      <c r="D3354" s="148" t="s">
        <v>696</v>
      </c>
      <c r="E3354" s="148">
        <v>0</v>
      </c>
      <c r="F3354" s="148" t="s">
        <v>37</v>
      </c>
    </row>
    <row r="3355" spans="1:6" ht="15.75">
      <c r="A3355" t="str">
        <f t="shared" si="52"/>
        <v>EchallensPACECS</v>
      </c>
      <c r="C3355" s="148" t="s">
        <v>454</v>
      </c>
      <c r="D3355" s="148" t="s">
        <v>69</v>
      </c>
      <c r="E3355" s="148">
        <v>74868.172674350004</v>
      </c>
      <c r="F3355" s="148" t="s">
        <v>37</v>
      </c>
    </row>
    <row r="3356" spans="1:6" ht="15.75">
      <c r="A3356" t="str">
        <f t="shared" si="52"/>
        <v>EchallensSolaireECS</v>
      </c>
      <c r="C3356" s="148" t="s">
        <v>454</v>
      </c>
      <c r="D3356" s="148" t="s">
        <v>240</v>
      </c>
      <c r="E3356" s="148">
        <v>488275.82999999996</v>
      </c>
      <c r="F3356" s="148" t="s">
        <v>37</v>
      </c>
    </row>
    <row r="3357" spans="1:6" ht="15.75">
      <c r="A3357" t="str">
        <f t="shared" si="52"/>
        <v>EchandensBoisECS</v>
      </c>
      <c r="C3357" s="148" t="s">
        <v>152</v>
      </c>
      <c r="D3357" s="148" t="s">
        <v>66</v>
      </c>
      <c r="E3357" s="148">
        <v>37470.807843130002</v>
      </c>
      <c r="F3357" s="148" t="s">
        <v>37</v>
      </c>
    </row>
    <row r="3358" spans="1:6" ht="15.75">
      <c r="A3358" t="str">
        <f t="shared" si="52"/>
        <v>EchandensElectricitéECS</v>
      </c>
      <c r="C3358" s="148" t="s">
        <v>152</v>
      </c>
      <c r="D3358" s="148" t="s">
        <v>97</v>
      </c>
      <c r="E3358" s="148">
        <v>649215.77777775994</v>
      </c>
      <c r="F3358" s="148" t="s">
        <v>37</v>
      </c>
    </row>
    <row r="3359" spans="1:6" ht="15.75">
      <c r="A3359" t="str">
        <f t="shared" si="52"/>
        <v>EchandensGazECS</v>
      </c>
      <c r="C3359" s="148" t="s">
        <v>152</v>
      </c>
      <c r="D3359" s="148" t="s">
        <v>239</v>
      </c>
      <c r="E3359" s="148">
        <v>814104.09974423994</v>
      </c>
      <c r="F3359" s="148" t="s">
        <v>37</v>
      </c>
    </row>
    <row r="3360" spans="1:6" ht="15.75">
      <c r="A3360" t="str">
        <f t="shared" si="52"/>
        <v>EchandensMazoutECS</v>
      </c>
      <c r="C3360" s="148" t="s">
        <v>152</v>
      </c>
      <c r="D3360" s="148" t="s">
        <v>70</v>
      </c>
      <c r="E3360" s="148">
        <v>1298781.3475936197</v>
      </c>
      <c r="F3360" s="148" t="s">
        <v>37</v>
      </c>
    </row>
    <row r="3361" spans="1:6" ht="15.75">
      <c r="A3361" t="str">
        <f t="shared" si="52"/>
        <v>EchandensNon renseignéECS</v>
      </c>
      <c r="C3361" s="148" t="s">
        <v>152</v>
      </c>
      <c r="D3361" s="148" t="s">
        <v>696</v>
      </c>
      <c r="E3361" s="148">
        <v>0</v>
      </c>
      <c r="F3361" s="148" t="s">
        <v>37</v>
      </c>
    </row>
    <row r="3362" spans="1:6" ht="15.75">
      <c r="A3362" t="str">
        <f t="shared" si="52"/>
        <v>EchandensPACECS</v>
      </c>
      <c r="C3362" s="148" t="s">
        <v>152</v>
      </c>
      <c r="D3362" s="148" t="s">
        <v>69</v>
      </c>
      <c r="E3362" s="148">
        <v>73867.105908559985</v>
      </c>
      <c r="F3362" s="148" t="s">
        <v>37</v>
      </c>
    </row>
    <row r="3363" spans="1:6" ht="15.75">
      <c r="A3363" t="str">
        <f t="shared" si="52"/>
        <v>EchandensSolaireECS</v>
      </c>
      <c r="C3363" s="148" t="s">
        <v>152</v>
      </c>
      <c r="D3363" s="148" t="s">
        <v>240</v>
      </c>
      <c r="E3363" s="148">
        <v>321975.50000000006</v>
      </c>
      <c r="F3363" s="148" t="s">
        <v>37</v>
      </c>
    </row>
    <row r="3364" spans="1:6" ht="15.75">
      <c r="A3364" t="str">
        <f t="shared" si="52"/>
        <v>EchichensAutre agent énergétiqueECS</v>
      </c>
      <c r="C3364" s="148" t="s">
        <v>455</v>
      </c>
      <c r="D3364" s="148" t="s">
        <v>245</v>
      </c>
      <c r="E3364" s="148">
        <v>11988.94117647</v>
      </c>
      <c r="F3364" s="148" t="s">
        <v>37</v>
      </c>
    </row>
    <row r="3365" spans="1:6" ht="15.75">
      <c r="A3365" t="str">
        <f t="shared" si="52"/>
        <v>EchichensBoisECS</v>
      </c>
      <c r="C3365" s="148" t="s">
        <v>455</v>
      </c>
      <c r="D3365" s="148" t="s">
        <v>66</v>
      </c>
      <c r="E3365" s="148">
        <v>276804.94745096</v>
      </c>
      <c r="F3365" s="148" t="s">
        <v>37</v>
      </c>
    </row>
    <row r="3366" spans="1:6" ht="15.75">
      <c r="A3366" t="str">
        <f t="shared" si="52"/>
        <v>EchichensCADECS</v>
      </c>
      <c r="C3366" s="148" t="s">
        <v>455</v>
      </c>
      <c r="D3366" s="148" t="s">
        <v>242</v>
      </c>
      <c r="E3366" s="148">
        <v>78113.600000000006</v>
      </c>
      <c r="F3366" s="148" t="s">
        <v>37</v>
      </c>
    </row>
    <row r="3367" spans="1:6" ht="15.75">
      <c r="A3367" t="str">
        <f t="shared" si="52"/>
        <v>EchichensElectricitéECS</v>
      </c>
      <c r="C3367" s="148" t="s">
        <v>455</v>
      </c>
      <c r="D3367" s="148" t="s">
        <v>97</v>
      </c>
      <c r="E3367" s="148">
        <v>726447.55555552</v>
      </c>
      <c r="F3367" s="148" t="s">
        <v>37</v>
      </c>
    </row>
    <row r="3368" spans="1:6" ht="15.75">
      <c r="A3368" t="str">
        <f t="shared" si="52"/>
        <v>EchichensGazECS</v>
      </c>
      <c r="C3368" s="148" t="s">
        <v>455</v>
      </c>
      <c r="D3368" s="148" t="s">
        <v>239</v>
      </c>
      <c r="E3368" s="148">
        <v>309418.48030691</v>
      </c>
      <c r="F3368" s="148" t="s">
        <v>37</v>
      </c>
    </row>
    <row r="3369" spans="1:6" ht="15.75">
      <c r="A3369" t="str">
        <f t="shared" si="52"/>
        <v>EchichensMazoutECS</v>
      </c>
      <c r="C3369" s="148" t="s">
        <v>455</v>
      </c>
      <c r="D3369" s="148" t="s">
        <v>70</v>
      </c>
      <c r="E3369" s="148">
        <v>2385062.5647058599</v>
      </c>
      <c r="F3369" s="148" t="s">
        <v>37</v>
      </c>
    </row>
    <row r="3370" spans="1:6" ht="15.75">
      <c r="A3370" t="str">
        <f t="shared" si="52"/>
        <v>EchichensNon renseignéECS</v>
      </c>
      <c r="C3370" s="148" t="s">
        <v>455</v>
      </c>
      <c r="D3370" s="148" t="s">
        <v>696</v>
      </c>
      <c r="E3370" s="148">
        <v>0</v>
      </c>
      <c r="F3370" s="148" t="s">
        <v>37</v>
      </c>
    </row>
    <row r="3371" spans="1:6" ht="15.75">
      <c r="A3371" t="str">
        <f t="shared" si="52"/>
        <v>EchichensPACECS</v>
      </c>
      <c r="C3371" s="148" t="s">
        <v>455</v>
      </c>
      <c r="D3371" s="148" t="s">
        <v>69</v>
      </c>
      <c r="E3371" s="148">
        <v>72788.734794999982</v>
      </c>
      <c r="F3371" s="148" t="s">
        <v>37</v>
      </c>
    </row>
    <row r="3372" spans="1:6" ht="15.75">
      <c r="A3372" t="str">
        <f t="shared" si="52"/>
        <v>EchichensSolaireECS</v>
      </c>
      <c r="C3372" s="148" t="s">
        <v>455</v>
      </c>
      <c r="D3372" s="148" t="s">
        <v>240</v>
      </c>
      <c r="E3372" s="148">
        <v>264419.40000000008</v>
      </c>
      <c r="F3372" s="148" t="s">
        <v>37</v>
      </c>
    </row>
    <row r="3373" spans="1:6" ht="15.75">
      <c r="A3373" t="str">
        <f t="shared" si="52"/>
        <v>EclépensBoisECS</v>
      </c>
      <c r="C3373" s="148" t="s">
        <v>646</v>
      </c>
      <c r="D3373" s="148" t="s">
        <v>66</v>
      </c>
      <c r="E3373" s="148">
        <v>25379.639215689996</v>
      </c>
      <c r="F3373" s="148" t="s">
        <v>37</v>
      </c>
    </row>
    <row r="3374" spans="1:6" ht="15.75">
      <c r="A3374" t="str">
        <f t="shared" si="52"/>
        <v>EclépensCADECS</v>
      </c>
      <c r="C3374" s="148" t="s">
        <v>646</v>
      </c>
      <c r="D3374" s="148" t="s">
        <v>242</v>
      </c>
      <c r="E3374" s="148">
        <v>731729.31999999972</v>
      </c>
      <c r="F3374" s="148" t="s">
        <v>37</v>
      </c>
    </row>
    <row r="3375" spans="1:6" ht="15.75">
      <c r="A3375" t="str">
        <f t="shared" si="52"/>
        <v>EclépensElectricitéECS</v>
      </c>
      <c r="C3375" s="148" t="s">
        <v>646</v>
      </c>
      <c r="D3375" s="148" t="s">
        <v>97</v>
      </c>
      <c r="E3375" s="148">
        <v>180099.11111108999</v>
      </c>
      <c r="F3375" s="148" t="s">
        <v>37</v>
      </c>
    </row>
    <row r="3376" spans="1:6" ht="15.75">
      <c r="A3376" t="str">
        <f t="shared" si="52"/>
        <v>EclépensGazECS</v>
      </c>
      <c r="C3376" s="148" t="s">
        <v>646</v>
      </c>
      <c r="D3376" s="148" t="s">
        <v>239</v>
      </c>
      <c r="E3376" s="148">
        <v>131553.52429668</v>
      </c>
      <c r="F3376" s="148" t="s">
        <v>37</v>
      </c>
    </row>
    <row r="3377" spans="1:6" ht="15.75">
      <c r="A3377" t="str">
        <f t="shared" si="52"/>
        <v>EclépensMazoutECS</v>
      </c>
      <c r="C3377" s="148" t="s">
        <v>646</v>
      </c>
      <c r="D3377" s="148" t="s">
        <v>70</v>
      </c>
      <c r="E3377" s="148">
        <v>349796.13071896002</v>
      </c>
      <c r="F3377" s="148" t="s">
        <v>37</v>
      </c>
    </row>
    <row r="3378" spans="1:6" ht="15.75">
      <c r="A3378" t="str">
        <f t="shared" si="52"/>
        <v>EclépensNon renseignéECS</v>
      </c>
      <c r="C3378" s="148" t="s">
        <v>646</v>
      </c>
      <c r="D3378" s="148" t="s">
        <v>696</v>
      </c>
      <c r="E3378" s="148">
        <v>0</v>
      </c>
      <c r="F3378" s="148" t="s">
        <v>37</v>
      </c>
    </row>
    <row r="3379" spans="1:6" ht="15.75">
      <c r="A3379" t="str">
        <f t="shared" si="52"/>
        <v>EclépensPACECS</v>
      </c>
      <c r="C3379" s="148" t="s">
        <v>646</v>
      </c>
      <c r="D3379" s="148" t="s">
        <v>69</v>
      </c>
      <c r="E3379" s="148">
        <v>5978.9949832700004</v>
      </c>
      <c r="F3379" s="148" t="s">
        <v>37</v>
      </c>
    </row>
    <row r="3380" spans="1:6" ht="15.75">
      <c r="A3380" t="str">
        <f t="shared" si="52"/>
        <v>EclépensSolaireECS</v>
      </c>
      <c r="C3380" s="148" t="s">
        <v>646</v>
      </c>
      <c r="D3380" s="148" t="s">
        <v>240</v>
      </c>
      <c r="E3380" s="148">
        <v>20983.200000000001</v>
      </c>
      <c r="F3380" s="148" t="s">
        <v>37</v>
      </c>
    </row>
    <row r="3381" spans="1:6" ht="15.75">
      <c r="A3381" t="str">
        <f t="shared" si="52"/>
        <v>Ecublens (VD)BoisECS</v>
      </c>
      <c r="C3381" s="148" t="s">
        <v>685</v>
      </c>
      <c r="D3381" s="148" t="s">
        <v>66</v>
      </c>
      <c r="E3381" s="148">
        <v>590021.73176471994</v>
      </c>
      <c r="F3381" s="148" t="s">
        <v>37</v>
      </c>
    </row>
    <row r="3382" spans="1:6" ht="15.75">
      <c r="A3382" t="str">
        <f t="shared" si="52"/>
        <v>Ecublens (VD)CADECS</v>
      </c>
      <c r="C3382" s="148" t="s">
        <v>685</v>
      </c>
      <c r="D3382" s="148" t="s">
        <v>242</v>
      </c>
      <c r="E3382" s="148">
        <v>955530.80000000016</v>
      </c>
      <c r="F3382" s="148" t="s">
        <v>37</v>
      </c>
    </row>
    <row r="3383" spans="1:6" ht="15.75">
      <c r="A3383" t="str">
        <f t="shared" si="52"/>
        <v>Ecublens (VD)CharbonECS</v>
      </c>
      <c r="C3383" s="148" t="s">
        <v>685</v>
      </c>
      <c r="D3383" s="148" t="s">
        <v>695</v>
      </c>
      <c r="E3383" s="148" t="e">
        <v>#N/A</v>
      </c>
      <c r="F3383" s="148" t="s">
        <v>37</v>
      </c>
    </row>
    <row r="3384" spans="1:6" ht="15.75">
      <c r="A3384" t="str">
        <f t="shared" si="52"/>
        <v>Ecublens (VD)ElectricitéECS</v>
      </c>
      <c r="C3384" s="148" t="s">
        <v>685</v>
      </c>
      <c r="D3384" s="148" t="s">
        <v>97</v>
      </c>
      <c r="E3384" s="148">
        <v>823468.1777777297</v>
      </c>
      <c r="F3384" s="148" t="s">
        <v>37</v>
      </c>
    </row>
    <row r="3385" spans="1:6" ht="15.75">
      <c r="A3385" t="str">
        <f t="shared" si="52"/>
        <v>Ecublens (VD)GazECS</v>
      </c>
      <c r="C3385" s="148" t="s">
        <v>685</v>
      </c>
      <c r="D3385" s="148" t="s">
        <v>239</v>
      </c>
      <c r="E3385" s="148">
        <v>6786567.4770805491</v>
      </c>
      <c r="F3385" s="148" t="s">
        <v>37</v>
      </c>
    </row>
    <row r="3386" spans="1:6" ht="15.75">
      <c r="A3386" t="str">
        <f t="shared" si="52"/>
        <v>Ecublens (VD)MazoutECS</v>
      </c>
      <c r="C3386" s="148" t="s">
        <v>685</v>
      </c>
      <c r="D3386" s="148" t="s">
        <v>70</v>
      </c>
      <c r="E3386" s="148">
        <v>5498865.9764705691</v>
      </c>
      <c r="F3386" s="148" t="s">
        <v>37</v>
      </c>
    </row>
    <row r="3387" spans="1:6" ht="15.75">
      <c r="A3387" t="str">
        <f t="shared" si="52"/>
        <v>Ecublens (VD)Non renseignéECS</v>
      </c>
      <c r="C3387" s="148" t="s">
        <v>685</v>
      </c>
      <c r="D3387" s="148" t="s">
        <v>696</v>
      </c>
      <c r="E3387" s="148">
        <v>0</v>
      </c>
      <c r="F3387" s="148" t="s">
        <v>37</v>
      </c>
    </row>
    <row r="3388" spans="1:6" ht="15.75">
      <c r="A3388" t="str">
        <f t="shared" si="52"/>
        <v>Ecublens (VD)PACECS</v>
      </c>
      <c r="C3388" s="148" t="s">
        <v>685</v>
      </c>
      <c r="D3388" s="148" t="s">
        <v>69</v>
      </c>
      <c r="E3388" s="148">
        <v>56153.773256519999</v>
      </c>
      <c r="F3388" s="148" t="s">
        <v>37</v>
      </c>
    </row>
    <row r="3389" spans="1:6" ht="15.75">
      <c r="A3389" t="str">
        <f t="shared" si="52"/>
        <v>Ecublens (VD)SolaireECS</v>
      </c>
      <c r="C3389" s="148" t="s">
        <v>685</v>
      </c>
      <c r="D3389" s="148" t="s">
        <v>240</v>
      </c>
      <c r="E3389" s="148">
        <v>743076.88000000047</v>
      </c>
      <c r="F3389" s="148" t="s">
        <v>37</v>
      </c>
    </row>
    <row r="3390" spans="1:6" ht="15.75">
      <c r="A3390" t="str">
        <f t="shared" si="52"/>
        <v>EpalingesAutre agent énergétiqueECS</v>
      </c>
      <c r="C3390" s="148" t="s">
        <v>456</v>
      </c>
      <c r="D3390" s="148" t="s">
        <v>245</v>
      </c>
      <c r="E3390" s="148">
        <v>288149.64705882</v>
      </c>
      <c r="F3390" s="148" t="s">
        <v>37</v>
      </c>
    </row>
    <row r="3391" spans="1:6" ht="15.75">
      <c r="A3391" t="str">
        <f t="shared" si="52"/>
        <v>EpalingesBoisECS</v>
      </c>
      <c r="C3391" s="148" t="s">
        <v>456</v>
      </c>
      <c r="D3391" s="148" t="s">
        <v>66</v>
      </c>
      <c r="E3391" s="148">
        <v>502345.69411763991</v>
      </c>
      <c r="F3391" s="148" t="s">
        <v>37</v>
      </c>
    </row>
    <row r="3392" spans="1:6" ht="15.75">
      <c r="A3392" t="str">
        <f t="shared" si="52"/>
        <v>EpalingesCADECS</v>
      </c>
      <c r="C3392" s="148" t="s">
        <v>456</v>
      </c>
      <c r="D3392" s="148" t="s">
        <v>242</v>
      </c>
      <c r="E3392" s="148">
        <v>240018.80000000002</v>
      </c>
      <c r="F3392" s="148" t="s">
        <v>37</v>
      </c>
    </row>
    <row r="3393" spans="1:6" ht="15.75">
      <c r="A3393" t="str">
        <f t="shared" si="52"/>
        <v>EpalingesElectricitéECS</v>
      </c>
      <c r="C3393" s="148" t="s">
        <v>456</v>
      </c>
      <c r="D3393" s="148" t="s">
        <v>97</v>
      </c>
      <c r="E3393" s="148">
        <v>1332385.28888887</v>
      </c>
      <c r="F3393" s="148" t="s">
        <v>37</v>
      </c>
    </row>
    <row r="3394" spans="1:6" ht="15.75">
      <c r="A3394" t="str">
        <f t="shared" si="52"/>
        <v>EpalingesGazECS</v>
      </c>
      <c r="C3394" s="148" t="s">
        <v>456</v>
      </c>
      <c r="D3394" s="148" t="s">
        <v>239</v>
      </c>
      <c r="E3394" s="148">
        <v>2918928.1703323568</v>
      </c>
      <c r="F3394" s="148" t="s">
        <v>37</v>
      </c>
    </row>
    <row r="3395" spans="1:6" ht="15.75">
      <c r="A3395" t="str">
        <f t="shared" si="52"/>
        <v>EpalingesMazoutECS</v>
      </c>
      <c r="C3395" s="148" t="s">
        <v>456</v>
      </c>
      <c r="D3395" s="148" t="s">
        <v>70</v>
      </c>
      <c r="E3395" s="148">
        <v>4731644.6162804523</v>
      </c>
      <c r="F3395" s="148" t="s">
        <v>37</v>
      </c>
    </row>
    <row r="3396" spans="1:6" ht="15.75">
      <c r="A3396" t="str">
        <f t="shared" si="52"/>
        <v>EpalingesNon renseignéECS</v>
      </c>
      <c r="C3396" s="148" t="s">
        <v>456</v>
      </c>
      <c r="D3396" s="148" t="s">
        <v>696</v>
      </c>
      <c r="E3396" s="148">
        <v>0</v>
      </c>
      <c r="F3396" s="148" t="s">
        <v>37</v>
      </c>
    </row>
    <row r="3397" spans="1:6" ht="15.75">
      <c r="A3397" t="str">
        <f t="shared" si="52"/>
        <v>EpalingesPACECS</v>
      </c>
      <c r="C3397" s="148" t="s">
        <v>456</v>
      </c>
      <c r="D3397" s="148" t="s">
        <v>69</v>
      </c>
      <c r="E3397" s="148">
        <v>176476.41861765998</v>
      </c>
      <c r="F3397" s="148" t="s">
        <v>37</v>
      </c>
    </row>
    <row r="3398" spans="1:6" ht="15.75">
      <c r="A3398" t="str">
        <f t="shared" si="52"/>
        <v>EpalingesSolaireECS</v>
      </c>
      <c r="C3398" s="148" t="s">
        <v>456</v>
      </c>
      <c r="D3398" s="148" t="s">
        <v>240</v>
      </c>
      <c r="E3398" s="148">
        <v>948184.43999999983</v>
      </c>
      <c r="F3398" s="148" t="s">
        <v>37</v>
      </c>
    </row>
    <row r="3399" spans="1:6" ht="15.75">
      <c r="A3399" t="str">
        <f t="shared" si="52"/>
        <v>Ependes (VD)BoisECS</v>
      </c>
      <c r="C3399" s="148" t="s">
        <v>645</v>
      </c>
      <c r="D3399" s="148" t="s">
        <v>66</v>
      </c>
      <c r="E3399" s="148">
        <v>39866.400000009999</v>
      </c>
      <c r="F3399" s="148" t="s">
        <v>37</v>
      </c>
    </row>
    <row r="3400" spans="1:6" ht="15.75">
      <c r="A3400" t="str">
        <f t="shared" si="52"/>
        <v>Ependes (VD)ElectricitéECS</v>
      </c>
      <c r="C3400" s="148" t="s">
        <v>645</v>
      </c>
      <c r="D3400" s="148" t="s">
        <v>97</v>
      </c>
      <c r="E3400" s="148">
        <v>188341.33333333</v>
      </c>
      <c r="F3400" s="148" t="s">
        <v>37</v>
      </c>
    </row>
    <row r="3401" spans="1:6" ht="15.75">
      <c r="A3401" t="str">
        <f t="shared" si="52"/>
        <v>Ependes (VD)GazECS</v>
      </c>
      <c r="C3401" s="148" t="s">
        <v>645</v>
      </c>
      <c r="D3401" s="148" t="s">
        <v>239</v>
      </c>
      <c r="E3401" s="148">
        <v>131449.40153450999</v>
      </c>
      <c r="F3401" s="148" t="s">
        <v>37</v>
      </c>
    </row>
    <row r="3402" spans="1:6" ht="15.75">
      <c r="A3402" t="str">
        <f t="shared" si="52"/>
        <v>Ependes (VD)MazoutECS</v>
      </c>
      <c r="C3402" s="148" t="s">
        <v>645</v>
      </c>
      <c r="D3402" s="148" t="s">
        <v>70</v>
      </c>
      <c r="E3402" s="148">
        <v>198984.47058823</v>
      </c>
      <c r="F3402" s="148" t="s">
        <v>37</v>
      </c>
    </row>
    <row r="3403" spans="1:6" ht="15.75">
      <c r="A3403" t="str">
        <f t="shared" ref="A3403:A3466" si="53">_xlfn.CONCAT(C3403,D3403,F3403)</f>
        <v>Ependes (VD)Non renseignéECS</v>
      </c>
      <c r="C3403" s="148" t="s">
        <v>645</v>
      </c>
      <c r="D3403" s="148" t="s">
        <v>696</v>
      </c>
      <c r="E3403" s="148">
        <v>0</v>
      </c>
      <c r="F3403" s="148" t="s">
        <v>37</v>
      </c>
    </row>
    <row r="3404" spans="1:6" ht="15.75">
      <c r="A3404" t="str">
        <f t="shared" si="53"/>
        <v>Ependes (VD)PACECS</v>
      </c>
      <c r="C3404" s="148" t="s">
        <v>645</v>
      </c>
      <c r="D3404" s="148" t="s">
        <v>69</v>
      </c>
      <c r="E3404" s="148">
        <v>6088.7357859499998</v>
      </c>
      <c r="F3404" s="148" t="s">
        <v>37</v>
      </c>
    </row>
    <row r="3405" spans="1:6" ht="15.75">
      <c r="A3405" t="str">
        <f t="shared" si="53"/>
        <v>Ependes (VD)SolaireECS</v>
      </c>
      <c r="C3405" s="148" t="s">
        <v>645</v>
      </c>
      <c r="D3405" s="148" t="s">
        <v>240</v>
      </c>
      <c r="E3405" s="148">
        <v>35074.199999999997</v>
      </c>
      <c r="F3405" s="148" t="s">
        <v>37</v>
      </c>
    </row>
    <row r="3406" spans="1:6" ht="15.75">
      <c r="A3406" t="str">
        <f t="shared" si="53"/>
        <v>EssertesBoisECS</v>
      </c>
      <c r="C3406" s="148" t="s">
        <v>457</v>
      </c>
      <c r="D3406" s="148" t="s">
        <v>66</v>
      </c>
      <c r="E3406" s="148">
        <v>20803.670588240002</v>
      </c>
      <c r="F3406" s="148" t="s">
        <v>37</v>
      </c>
    </row>
    <row r="3407" spans="1:6" ht="15.75">
      <c r="A3407" t="str">
        <f t="shared" si="53"/>
        <v>EssertesElectricitéECS</v>
      </c>
      <c r="C3407" s="148" t="s">
        <v>457</v>
      </c>
      <c r="D3407" s="148" t="s">
        <v>97</v>
      </c>
      <c r="E3407" s="148">
        <v>208505.11111111002</v>
      </c>
      <c r="F3407" s="148" t="s">
        <v>37</v>
      </c>
    </row>
    <row r="3408" spans="1:6" ht="15.75">
      <c r="A3408" t="str">
        <f t="shared" si="53"/>
        <v>EssertesGazECS</v>
      </c>
      <c r="C3408" s="148" t="s">
        <v>457</v>
      </c>
      <c r="D3408" s="148" t="s">
        <v>239</v>
      </c>
      <c r="E3408" s="148">
        <v>50328.2455243</v>
      </c>
      <c r="F3408" s="148" t="s">
        <v>37</v>
      </c>
    </row>
    <row r="3409" spans="1:6" ht="15.75">
      <c r="A3409" t="str">
        <f t="shared" si="53"/>
        <v>EssertesMazoutECS</v>
      </c>
      <c r="C3409" s="148" t="s">
        <v>457</v>
      </c>
      <c r="D3409" s="148" t="s">
        <v>70</v>
      </c>
      <c r="E3409" s="148">
        <v>272293.08235295</v>
      </c>
      <c r="F3409" s="148" t="s">
        <v>37</v>
      </c>
    </row>
    <row r="3410" spans="1:6" ht="15.75">
      <c r="A3410" t="str">
        <f t="shared" si="53"/>
        <v>EssertesNon renseignéECS</v>
      </c>
      <c r="C3410" s="148" t="s">
        <v>457</v>
      </c>
      <c r="D3410" s="148" t="s">
        <v>696</v>
      </c>
      <c r="E3410" s="148">
        <v>0</v>
      </c>
      <c r="F3410" s="148" t="s">
        <v>37</v>
      </c>
    </row>
    <row r="3411" spans="1:6" ht="15.75">
      <c r="A3411" t="str">
        <f t="shared" si="53"/>
        <v>EssertesPACECS</v>
      </c>
      <c r="C3411" s="148" t="s">
        <v>457</v>
      </c>
      <c r="D3411" s="148" t="s">
        <v>69</v>
      </c>
      <c r="E3411" s="148">
        <v>14865.155951929999</v>
      </c>
      <c r="F3411" s="148" t="s">
        <v>37</v>
      </c>
    </row>
    <row r="3412" spans="1:6" ht="15.75">
      <c r="A3412" t="str">
        <f t="shared" si="53"/>
        <v>EssertesSolaireECS</v>
      </c>
      <c r="C3412" s="148" t="s">
        <v>457</v>
      </c>
      <c r="D3412" s="148" t="s">
        <v>240</v>
      </c>
      <c r="E3412" s="148">
        <v>100024.96000000001</v>
      </c>
      <c r="F3412" s="148" t="s">
        <v>37</v>
      </c>
    </row>
    <row r="3413" spans="1:6" ht="15.75">
      <c r="A3413" t="str">
        <f t="shared" si="53"/>
        <v>EssertesAutre agent énergétiqueECS</v>
      </c>
      <c r="C3413" s="148" t="s">
        <v>457</v>
      </c>
      <c r="D3413" s="148" t="s">
        <v>245</v>
      </c>
      <c r="E3413" s="148">
        <v>7411.7647058800003</v>
      </c>
      <c r="F3413" s="148" t="s">
        <v>37</v>
      </c>
    </row>
    <row r="3414" spans="1:6" ht="15.75">
      <c r="A3414" t="str">
        <f t="shared" si="53"/>
        <v>Essertines-sur-RolleBoisECS</v>
      </c>
      <c r="C3414" s="148" t="s">
        <v>644</v>
      </c>
      <c r="D3414" s="148" t="s">
        <v>66</v>
      </c>
      <c r="E3414" s="148">
        <v>147296.25098039999</v>
      </c>
      <c r="F3414" s="148" t="s">
        <v>37</v>
      </c>
    </row>
    <row r="3415" spans="1:6" ht="15.75">
      <c r="A3415" t="str">
        <f t="shared" si="53"/>
        <v>Essertines-sur-RolleCADECS</v>
      </c>
      <c r="C3415" s="148" t="s">
        <v>644</v>
      </c>
      <c r="D3415" s="148" t="s">
        <v>242</v>
      </c>
      <c r="E3415" s="148" t="e">
        <v>#N/A</v>
      </c>
      <c r="F3415" s="148" t="s">
        <v>37</v>
      </c>
    </row>
    <row r="3416" spans="1:6" ht="15.75">
      <c r="A3416" t="str">
        <f t="shared" si="53"/>
        <v>Essertines-sur-RolleElectricitéECS</v>
      </c>
      <c r="C3416" s="148" t="s">
        <v>644</v>
      </c>
      <c r="D3416" s="148" t="s">
        <v>97</v>
      </c>
      <c r="E3416" s="148">
        <v>394769.80392161006</v>
      </c>
      <c r="F3416" s="148" t="s">
        <v>37</v>
      </c>
    </row>
    <row r="3417" spans="1:6" ht="15.75">
      <c r="A3417" t="str">
        <f t="shared" si="53"/>
        <v>Essertines-sur-RolleGazECS</v>
      </c>
      <c r="C3417" s="148" t="s">
        <v>644</v>
      </c>
      <c r="D3417" s="148" t="s">
        <v>239</v>
      </c>
      <c r="E3417" s="148">
        <v>20133.647058820003</v>
      </c>
      <c r="F3417" s="148" t="s">
        <v>37</v>
      </c>
    </row>
    <row r="3418" spans="1:6" ht="15.75">
      <c r="A3418" t="str">
        <f t="shared" si="53"/>
        <v>Essertines-sur-RolleMazoutECS</v>
      </c>
      <c r="C3418" s="148" t="s">
        <v>644</v>
      </c>
      <c r="D3418" s="148" t="s">
        <v>70</v>
      </c>
      <c r="E3418" s="148">
        <v>550258.96470593999</v>
      </c>
      <c r="F3418" s="148" t="s">
        <v>37</v>
      </c>
    </row>
    <row r="3419" spans="1:6" ht="15.75">
      <c r="A3419" t="str">
        <f t="shared" si="53"/>
        <v>Essertines-sur-RolleNon renseignéECS</v>
      </c>
      <c r="C3419" s="148" t="s">
        <v>644</v>
      </c>
      <c r="D3419" s="148" t="s">
        <v>696</v>
      </c>
      <c r="E3419" s="148">
        <v>0</v>
      </c>
      <c r="F3419" s="148" t="s">
        <v>37</v>
      </c>
    </row>
    <row r="3420" spans="1:6" ht="15.75">
      <c r="A3420" t="str">
        <f t="shared" si="53"/>
        <v>Essertines-sur-RollePACECS</v>
      </c>
      <c r="C3420" s="148" t="s">
        <v>644</v>
      </c>
      <c r="D3420" s="148" t="s">
        <v>69</v>
      </c>
      <c r="E3420" s="148">
        <v>13353.367521369999</v>
      </c>
      <c r="F3420" s="148" t="s">
        <v>37</v>
      </c>
    </row>
    <row r="3421" spans="1:6" ht="15.75">
      <c r="A3421" t="str">
        <f t="shared" si="53"/>
        <v>Essertines-sur-RolleSolaireECS</v>
      </c>
      <c r="C3421" s="148" t="s">
        <v>644</v>
      </c>
      <c r="D3421" s="148" t="s">
        <v>240</v>
      </c>
      <c r="E3421" s="148">
        <v>16744</v>
      </c>
      <c r="F3421" s="148" t="s">
        <v>37</v>
      </c>
    </row>
    <row r="3422" spans="1:6" ht="15.75">
      <c r="A3422" t="str">
        <f t="shared" si="53"/>
        <v>Essertines-sur-YverdonBoisECS</v>
      </c>
      <c r="C3422" s="148" t="s">
        <v>643</v>
      </c>
      <c r="D3422" s="148" t="s">
        <v>66</v>
      </c>
      <c r="E3422" s="148">
        <v>325653.25333333004</v>
      </c>
      <c r="F3422" s="148" t="s">
        <v>37</v>
      </c>
    </row>
    <row r="3423" spans="1:6" ht="15.75">
      <c r="A3423" t="str">
        <f t="shared" si="53"/>
        <v>Essertines-sur-YverdonCADECS</v>
      </c>
      <c r="C3423" s="148" t="s">
        <v>643</v>
      </c>
      <c r="D3423" s="148" t="s">
        <v>242</v>
      </c>
      <c r="E3423" s="148">
        <v>4760</v>
      </c>
      <c r="F3423" s="148" t="s">
        <v>37</v>
      </c>
    </row>
    <row r="3424" spans="1:6" ht="15.75">
      <c r="A3424" t="str">
        <f t="shared" si="53"/>
        <v>Essertines-sur-YverdonElectricitéECS</v>
      </c>
      <c r="C3424" s="148" t="s">
        <v>643</v>
      </c>
      <c r="D3424" s="148" t="s">
        <v>97</v>
      </c>
      <c r="E3424" s="148">
        <v>343396.66666663991</v>
      </c>
      <c r="F3424" s="148" t="s">
        <v>37</v>
      </c>
    </row>
    <row r="3425" spans="1:6" ht="15.75">
      <c r="A3425" t="str">
        <f t="shared" si="53"/>
        <v>Essertines-sur-YverdonGazECS</v>
      </c>
      <c r="C3425" s="148" t="s">
        <v>643</v>
      </c>
      <c r="D3425" s="148" t="s">
        <v>239</v>
      </c>
      <c r="E3425" s="148">
        <v>22979.764705879999</v>
      </c>
      <c r="F3425" s="148" t="s">
        <v>37</v>
      </c>
    </row>
    <row r="3426" spans="1:6" ht="15.75">
      <c r="A3426" t="str">
        <f t="shared" si="53"/>
        <v>Essertines-sur-YverdonMazoutECS</v>
      </c>
      <c r="C3426" s="148" t="s">
        <v>643</v>
      </c>
      <c r="D3426" s="148" t="s">
        <v>70</v>
      </c>
      <c r="E3426" s="148">
        <v>782257.41176473047</v>
      </c>
      <c r="F3426" s="148" t="s">
        <v>37</v>
      </c>
    </row>
    <row r="3427" spans="1:6" ht="15.75">
      <c r="A3427" t="str">
        <f t="shared" si="53"/>
        <v>Essertines-sur-YverdonNon renseignéECS</v>
      </c>
      <c r="C3427" s="148" t="s">
        <v>643</v>
      </c>
      <c r="D3427" s="148" t="s">
        <v>696</v>
      </c>
      <c r="E3427" s="148">
        <v>0</v>
      </c>
      <c r="F3427" s="148" t="s">
        <v>37</v>
      </c>
    </row>
    <row r="3428" spans="1:6" ht="15.75">
      <c r="A3428" t="str">
        <f t="shared" si="53"/>
        <v>Essertines-sur-YverdonPACECS</v>
      </c>
      <c r="C3428" s="148" t="s">
        <v>643</v>
      </c>
      <c r="D3428" s="148" t="s">
        <v>69</v>
      </c>
      <c r="E3428" s="148">
        <v>44127.642326269997</v>
      </c>
      <c r="F3428" s="148" t="s">
        <v>37</v>
      </c>
    </row>
    <row r="3429" spans="1:6" ht="15.75">
      <c r="A3429" t="str">
        <f t="shared" si="53"/>
        <v>Essertines-sur-YverdonSolaireECS</v>
      </c>
      <c r="C3429" s="148" t="s">
        <v>643</v>
      </c>
      <c r="D3429" s="148" t="s">
        <v>240</v>
      </c>
      <c r="E3429" s="148">
        <v>159510.40000000002</v>
      </c>
      <c r="F3429" s="148" t="s">
        <v>37</v>
      </c>
    </row>
    <row r="3430" spans="1:6" ht="15.75">
      <c r="A3430" t="str">
        <f t="shared" si="53"/>
        <v>EtagnièresBoisECS</v>
      </c>
      <c r="C3430" s="148" t="s">
        <v>642</v>
      </c>
      <c r="D3430" s="148" t="s">
        <v>66</v>
      </c>
      <c r="E3430" s="148">
        <v>27864.996078429998</v>
      </c>
      <c r="F3430" s="148" t="s">
        <v>37</v>
      </c>
    </row>
    <row r="3431" spans="1:6" ht="15.75">
      <c r="A3431" t="str">
        <f t="shared" si="53"/>
        <v>EtagnièresElectricitéECS</v>
      </c>
      <c r="C3431" s="148" t="s">
        <v>642</v>
      </c>
      <c r="D3431" s="148" t="s">
        <v>97</v>
      </c>
      <c r="E3431" s="148">
        <v>240986.66666665007</v>
      </c>
      <c r="F3431" s="148" t="s">
        <v>37</v>
      </c>
    </row>
    <row r="3432" spans="1:6" ht="15.75">
      <c r="A3432" t="str">
        <f t="shared" si="53"/>
        <v>EtagnièresGazECS</v>
      </c>
      <c r="C3432" s="148" t="s">
        <v>642</v>
      </c>
      <c r="D3432" s="148" t="s">
        <v>239</v>
      </c>
      <c r="E3432" s="148">
        <v>570825.31202040019</v>
      </c>
      <c r="F3432" s="148" t="s">
        <v>37</v>
      </c>
    </row>
    <row r="3433" spans="1:6" ht="15.75">
      <c r="A3433" t="str">
        <f t="shared" si="53"/>
        <v>EtagnièresMazoutECS</v>
      </c>
      <c r="C3433" s="148" t="s">
        <v>642</v>
      </c>
      <c r="D3433" s="148" t="s">
        <v>70</v>
      </c>
      <c r="E3433" s="148">
        <v>625030.82352938992</v>
      </c>
      <c r="F3433" s="148" t="s">
        <v>37</v>
      </c>
    </row>
    <row r="3434" spans="1:6" ht="15.75">
      <c r="A3434" t="str">
        <f t="shared" si="53"/>
        <v>EtagnièresNon renseignéECS</v>
      </c>
      <c r="C3434" s="148" t="s">
        <v>642</v>
      </c>
      <c r="D3434" s="148" t="s">
        <v>696</v>
      </c>
      <c r="E3434" s="148">
        <v>0</v>
      </c>
      <c r="F3434" s="148" t="s">
        <v>37</v>
      </c>
    </row>
    <row r="3435" spans="1:6" ht="15.75">
      <c r="A3435" t="str">
        <f t="shared" si="53"/>
        <v>EtagnièresPACECS</v>
      </c>
      <c r="C3435" s="148" t="s">
        <v>642</v>
      </c>
      <c r="D3435" s="148" t="s">
        <v>69</v>
      </c>
      <c r="E3435" s="148">
        <v>20449.5739502</v>
      </c>
      <c r="F3435" s="148" t="s">
        <v>37</v>
      </c>
    </row>
    <row r="3436" spans="1:6" ht="15.75">
      <c r="A3436" t="str">
        <f t="shared" si="53"/>
        <v>EtagnièresSolaireECS</v>
      </c>
      <c r="C3436" s="148" t="s">
        <v>642</v>
      </c>
      <c r="D3436" s="148" t="s">
        <v>240</v>
      </c>
      <c r="E3436" s="148">
        <v>156402.4</v>
      </c>
      <c r="F3436" s="148" t="s">
        <v>37</v>
      </c>
    </row>
    <row r="3437" spans="1:6" ht="15.75">
      <c r="A3437" t="str">
        <f t="shared" si="53"/>
        <v>EtoyBoisECS</v>
      </c>
      <c r="C3437" s="148" t="s">
        <v>458</v>
      </c>
      <c r="D3437" s="148" t="s">
        <v>66</v>
      </c>
      <c r="E3437" s="148">
        <v>102254.90196078</v>
      </c>
      <c r="F3437" s="148" t="s">
        <v>37</v>
      </c>
    </row>
    <row r="3438" spans="1:6" ht="15.75">
      <c r="A3438" t="str">
        <f t="shared" si="53"/>
        <v>EtoyCADECS</v>
      </c>
      <c r="C3438" s="148" t="s">
        <v>458</v>
      </c>
      <c r="D3438" s="148" t="s">
        <v>242</v>
      </c>
      <c r="E3438" s="148">
        <v>242659.20000000001</v>
      </c>
      <c r="F3438" s="148" t="s">
        <v>37</v>
      </c>
    </row>
    <row r="3439" spans="1:6" ht="15.75">
      <c r="A3439" t="str">
        <f t="shared" si="53"/>
        <v>EtoyElectricitéECS</v>
      </c>
      <c r="C3439" s="148" t="s">
        <v>458</v>
      </c>
      <c r="D3439" s="148" t="s">
        <v>97</v>
      </c>
      <c r="E3439" s="148">
        <v>485085.99999997992</v>
      </c>
      <c r="F3439" s="148" t="s">
        <v>37</v>
      </c>
    </row>
    <row r="3440" spans="1:6" ht="15.75">
      <c r="A3440" t="str">
        <f t="shared" si="53"/>
        <v>EtoyGazECS</v>
      </c>
      <c r="C3440" s="148" t="s">
        <v>458</v>
      </c>
      <c r="D3440" s="148" t="s">
        <v>239</v>
      </c>
      <c r="E3440" s="148">
        <v>2317475.3405469819</v>
      </c>
      <c r="F3440" s="148" t="s">
        <v>37</v>
      </c>
    </row>
    <row r="3441" spans="1:6" ht="15.75">
      <c r="A3441" t="str">
        <f t="shared" si="53"/>
        <v>EtoyMazoutECS</v>
      </c>
      <c r="C3441" s="148" t="s">
        <v>458</v>
      </c>
      <c r="D3441" s="148" t="s">
        <v>70</v>
      </c>
      <c r="E3441" s="148">
        <v>1277885.0823529698</v>
      </c>
      <c r="F3441" s="148" t="s">
        <v>37</v>
      </c>
    </row>
    <row r="3442" spans="1:6" ht="15.75">
      <c r="A3442" t="str">
        <f t="shared" si="53"/>
        <v>EtoyNon renseignéECS</v>
      </c>
      <c r="C3442" s="148" t="s">
        <v>458</v>
      </c>
      <c r="D3442" s="148" t="s">
        <v>696</v>
      </c>
      <c r="E3442" s="148">
        <v>0</v>
      </c>
      <c r="F3442" s="148" t="s">
        <v>37</v>
      </c>
    </row>
    <row r="3443" spans="1:6" ht="15.75">
      <c r="A3443" t="str">
        <f t="shared" si="53"/>
        <v>EtoyPACECS</v>
      </c>
      <c r="C3443" s="148" t="s">
        <v>458</v>
      </c>
      <c r="D3443" s="148" t="s">
        <v>69</v>
      </c>
      <c r="E3443" s="148">
        <v>75657.775795850001</v>
      </c>
      <c r="F3443" s="148" t="s">
        <v>37</v>
      </c>
    </row>
    <row r="3444" spans="1:6" ht="15.75">
      <c r="A3444" t="str">
        <f t="shared" si="53"/>
        <v>EtoySolaireECS</v>
      </c>
      <c r="C3444" s="148" t="s">
        <v>458</v>
      </c>
      <c r="D3444" s="148" t="s">
        <v>240</v>
      </c>
      <c r="E3444" s="148">
        <v>436826.61999999994</v>
      </c>
      <c r="F3444" s="148" t="s">
        <v>37</v>
      </c>
    </row>
    <row r="3445" spans="1:6" ht="15.75">
      <c r="A3445" t="str">
        <f t="shared" si="53"/>
        <v>EysinsBoisECS</v>
      </c>
      <c r="C3445" s="148" t="s">
        <v>459</v>
      </c>
      <c r="D3445" s="148" t="s">
        <v>66</v>
      </c>
      <c r="E3445" s="148">
        <v>92054.776470590004</v>
      </c>
      <c r="F3445" s="148" t="s">
        <v>37</v>
      </c>
    </row>
    <row r="3446" spans="1:6" ht="15.75">
      <c r="A3446" t="str">
        <f t="shared" si="53"/>
        <v>EysinsElectricitéECS</v>
      </c>
      <c r="C3446" s="148" t="s">
        <v>459</v>
      </c>
      <c r="D3446" s="148" t="s">
        <v>97</v>
      </c>
      <c r="E3446" s="148">
        <v>254146.97777777998</v>
      </c>
      <c r="F3446" s="148" t="s">
        <v>37</v>
      </c>
    </row>
    <row r="3447" spans="1:6" ht="15.75">
      <c r="A3447" t="str">
        <f t="shared" si="53"/>
        <v>EysinsGazECS</v>
      </c>
      <c r="C3447" s="148" t="s">
        <v>459</v>
      </c>
      <c r="D3447" s="148" t="s">
        <v>239</v>
      </c>
      <c r="E3447" s="148">
        <v>299539.86445011996</v>
      </c>
      <c r="F3447" s="148" t="s">
        <v>37</v>
      </c>
    </row>
    <row r="3448" spans="1:6" ht="15.75">
      <c r="A3448" t="str">
        <f t="shared" si="53"/>
        <v>EysinsMazoutECS</v>
      </c>
      <c r="C3448" s="148" t="s">
        <v>459</v>
      </c>
      <c r="D3448" s="148" t="s">
        <v>70</v>
      </c>
      <c r="E3448" s="148">
        <v>924077.41176471999</v>
      </c>
      <c r="F3448" s="148" t="s">
        <v>37</v>
      </c>
    </row>
    <row r="3449" spans="1:6" ht="15.75">
      <c r="A3449" t="str">
        <f t="shared" si="53"/>
        <v>EysinsNon renseignéECS</v>
      </c>
      <c r="C3449" s="148" t="s">
        <v>459</v>
      </c>
      <c r="D3449" s="148" t="s">
        <v>696</v>
      </c>
      <c r="E3449" s="148">
        <v>0</v>
      </c>
      <c r="F3449" s="148" t="s">
        <v>37</v>
      </c>
    </row>
    <row r="3450" spans="1:6" ht="15.75">
      <c r="A3450" t="str">
        <f t="shared" si="53"/>
        <v>EysinsPACECS</v>
      </c>
      <c r="C3450" s="148" t="s">
        <v>459</v>
      </c>
      <c r="D3450" s="148" t="s">
        <v>69</v>
      </c>
      <c r="E3450" s="148">
        <v>147545.31760188998</v>
      </c>
      <c r="F3450" s="148" t="s">
        <v>37</v>
      </c>
    </row>
    <row r="3451" spans="1:6" ht="15.75">
      <c r="A3451" t="str">
        <f t="shared" si="53"/>
        <v>EysinsSolaireECS</v>
      </c>
      <c r="C3451" s="148" t="s">
        <v>459</v>
      </c>
      <c r="D3451" s="148" t="s">
        <v>240</v>
      </c>
      <c r="E3451" s="148">
        <v>346172.12</v>
      </c>
      <c r="F3451" s="148" t="s">
        <v>37</v>
      </c>
    </row>
    <row r="3452" spans="1:6" ht="15.75">
      <c r="A3452" t="str">
        <f t="shared" si="53"/>
        <v>FaougBoisECS</v>
      </c>
      <c r="C3452" s="148" t="s">
        <v>460</v>
      </c>
      <c r="D3452" s="148" t="s">
        <v>66</v>
      </c>
      <c r="E3452" s="148">
        <v>66033.003921579992</v>
      </c>
      <c r="F3452" s="148" t="s">
        <v>37</v>
      </c>
    </row>
    <row r="3453" spans="1:6" ht="15.75">
      <c r="A3453" t="str">
        <f t="shared" si="53"/>
        <v>FaougElectricitéECS</v>
      </c>
      <c r="C3453" s="148" t="s">
        <v>460</v>
      </c>
      <c r="D3453" s="148" t="s">
        <v>97</v>
      </c>
      <c r="E3453" s="148">
        <v>508694.66666665004</v>
      </c>
      <c r="F3453" s="148" t="s">
        <v>37</v>
      </c>
    </row>
    <row r="3454" spans="1:6" ht="15.75">
      <c r="A3454" t="str">
        <f t="shared" si="53"/>
        <v>FaougGazECS</v>
      </c>
      <c r="C3454" s="148" t="s">
        <v>460</v>
      </c>
      <c r="D3454" s="148" t="s">
        <v>239</v>
      </c>
      <c r="E3454" s="148">
        <v>10659.764705879999</v>
      </c>
      <c r="F3454" s="148" t="s">
        <v>37</v>
      </c>
    </row>
    <row r="3455" spans="1:6" ht="15.75">
      <c r="A3455" t="str">
        <f t="shared" si="53"/>
        <v>FaougMazoutECS</v>
      </c>
      <c r="C3455" s="148" t="s">
        <v>460</v>
      </c>
      <c r="D3455" s="148" t="s">
        <v>70</v>
      </c>
      <c r="E3455" s="148">
        <v>364291.52941177005</v>
      </c>
      <c r="F3455" s="148" t="s">
        <v>37</v>
      </c>
    </row>
    <row r="3456" spans="1:6" ht="15.75">
      <c r="A3456" t="str">
        <f t="shared" si="53"/>
        <v>FaougNon renseignéECS</v>
      </c>
      <c r="C3456" s="148" t="s">
        <v>460</v>
      </c>
      <c r="D3456" s="148" t="s">
        <v>696</v>
      </c>
      <c r="E3456" s="148">
        <v>0</v>
      </c>
      <c r="F3456" s="148" t="s">
        <v>37</v>
      </c>
    </row>
    <row r="3457" spans="1:6" ht="15.75">
      <c r="A3457" t="str">
        <f t="shared" si="53"/>
        <v>FaougPACECS</v>
      </c>
      <c r="C3457" s="148" t="s">
        <v>460</v>
      </c>
      <c r="D3457" s="148" t="s">
        <v>69</v>
      </c>
      <c r="E3457" s="148">
        <v>54049.395639819995</v>
      </c>
      <c r="F3457" s="148" t="s">
        <v>37</v>
      </c>
    </row>
    <row r="3458" spans="1:6" ht="15.75">
      <c r="A3458" t="str">
        <f t="shared" si="53"/>
        <v>FaougSolaireECS</v>
      </c>
      <c r="C3458" s="148" t="s">
        <v>460</v>
      </c>
      <c r="D3458" s="148" t="s">
        <v>240</v>
      </c>
      <c r="E3458" s="148">
        <v>278877.90000000002</v>
      </c>
      <c r="F3458" s="148" t="s">
        <v>37</v>
      </c>
    </row>
    <row r="3459" spans="1:6" ht="15.75">
      <c r="A3459" t="str">
        <f t="shared" si="53"/>
        <v>FaougAutre agent énergétiqueECS</v>
      </c>
      <c r="C3459" s="148" t="s">
        <v>460</v>
      </c>
      <c r="D3459" s="148" t="s">
        <v>245</v>
      </c>
      <c r="E3459" s="148">
        <v>4032</v>
      </c>
      <c r="F3459" s="148" t="s">
        <v>37</v>
      </c>
    </row>
    <row r="3460" spans="1:6" ht="15.75">
      <c r="A3460" t="str">
        <f t="shared" si="53"/>
        <v>FaougCADECS</v>
      </c>
      <c r="C3460" s="148" t="s">
        <v>460</v>
      </c>
      <c r="D3460" s="148" t="s">
        <v>242</v>
      </c>
      <c r="E3460" s="148">
        <v>2923.2000000000003</v>
      </c>
      <c r="F3460" s="148" t="s">
        <v>37</v>
      </c>
    </row>
    <row r="3461" spans="1:6" ht="15.75">
      <c r="A3461" t="str">
        <f t="shared" si="53"/>
        <v>FéchyAutre agent énergétiqueECS</v>
      </c>
      <c r="C3461" s="148" t="s">
        <v>686</v>
      </c>
      <c r="D3461" s="148" t="s">
        <v>245</v>
      </c>
      <c r="E3461" s="148" t="e">
        <v>#N/A</v>
      </c>
      <c r="F3461" s="148" t="s">
        <v>37</v>
      </c>
    </row>
    <row r="3462" spans="1:6" ht="15.75">
      <c r="A3462" t="str">
        <f t="shared" si="53"/>
        <v>FéchyBoisECS</v>
      </c>
      <c r="C3462" s="148" t="s">
        <v>686</v>
      </c>
      <c r="D3462" s="148" t="s">
        <v>66</v>
      </c>
      <c r="E3462" s="148">
        <v>93611.46666666001</v>
      </c>
      <c r="F3462" s="148" t="s">
        <v>37</v>
      </c>
    </row>
    <row r="3463" spans="1:6" ht="15.75">
      <c r="A3463" t="str">
        <f t="shared" si="53"/>
        <v>FéchyElectricitéECS</v>
      </c>
      <c r="C3463" s="148" t="s">
        <v>686</v>
      </c>
      <c r="D3463" s="148" t="s">
        <v>97</v>
      </c>
      <c r="E3463" s="148">
        <v>188796.53333335003</v>
      </c>
      <c r="F3463" s="148" t="s">
        <v>37</v>
      </c>
    </row>
    <row r="3464" spans="1:6" ht="15.75">
      <c r="A3464" t="str">
        <f t="shared" si="53"/>
        <v>FéchyGazECS</v>
      </c>
      <c r="C3464" s="148" t="s">
        <v>686</v>
      </c>
      <c r="D3464" s="148" t="s">
        <v>239</v>
      </c>
      <c r="E3464" s="148">
        <v>568569.2531969297</v>
      </c>
      <c r="F3464" s="148" t="s">
        <v>37</v>
      </c>
    </row>
    <row r="3465" spans="1:6" ht="15.75">
      <c r="A3465" t="str">
        <f t="shared" si="53"/>
        <v>FéchyMazoutECS</v>
      </c>
      <c r="C3465" s="148" t="s">
        <v>686</v>
      </c>
      <c r="D3465" s="148" t="s">
        <v>70</v>
      </c>
      <c r="E3465" s="148">
        <v>459727.71764706011</v>
      </c>
      <c r="F3465" s="148" t="s">
        <v>37</v>
      </c>
    </row>
    <row r="3466" spans="1:6" ht="15.75">
      <c r="A3466" t="str">
        <f t="shared" si="53"/>
        <v>FéchyNon renseignéECS</v>
      </c>
      <c r="C3466" s="148" t="s">
        <v>686</v>
      </c>
      <c r="D3466" s="148" t="s">
        <v>696</v>
      </c>
      <c r="E3466" s="148">
        <v>0</v>
      </c>
      <c r="F3466" s="148" t="s">
        <v>37</v>
      </c>
    </row>
    <row r="3467" spans="1:6" ht="15.75">
      <c r="A3467" t="str">
        <f t="shared" ref="A3467:A3530" si="54">_xlfn.CONCAT(C3467,D3467,F3467)</f>
        <v>FéchyPACECS</v>
      </c>
      <c r="C3467" s="148" t="s">
        <v>686</v>
      </c>
      <c r="D3467" s="148" t="s">
        <v>69</v>
      </c>
      <c r="E3467" s="148">
        <v>37471.744481600006</v>
      </c>
      <c r="F3467" s="148" t="s">
        <v>37</v>
      </c>
    </row>
    <row r="3468" spans="1:6" ht="15.75">
      <c r="A3468" t="str">
        <f t="shared" si="54"/>
        <v>FéchySolaireECS</v>
      </c>
      <c r="C3468" s="148" t="s">
        <v>686</v>
      </c>
      <c r="D3468" s="148" t="s">
        <v>240</v>
      </c>
      <c r="E3468" s="148">
        <v>101347.32999999999</v>
      </c>
      <c r="F3468" s="148" t="s">
        <v>37</v>
      </c>
    </row>
    <row r="3469" spans="1:6" ht="15.75">
      <c r="A3469" t="str">
        <f t="shared" si="54"/>
        <v>FerreyresBoisECS</v>
      </c>
      <c r="C3469" s="148" t="s">
        <v>243</v>
      </c>
      <c r="D3469" s="148" t="s">
        <v>66</v>
      </c>
      <c r="E3469" s="148">
        <v>47583.836862759999</v>
      </c>
      <c r="F3469" s="148" t="s">
        <v>37</v>
      </c>
    </row>
    <row r="3470" spans="1:6" ht="15.75">
      <c r="A3470" t="str">
        <f t="shared" si="54"/>
        <v>FerreyresElectricitéECS</v>
      </c>
      <c r="C3470" s="148" t="s">
        <v>243</v>
      </c>
      <c r="D3470" s="148" t="s">
        <v>97</v>
      </c>
      <c r="E3470" s="148">
        <v>135572.88888890002</v>
      </c>
      <c r="F3470" s="148" t="s">
        <v>37</v>
      </c>
    </row>
    <row r="3471" spans="1:6" ht="15.75">
      <c r="A3471" t="str">
        <f t="shared" si="54"/>
        <v>FerreyresGazECS</v>
      </c>
      <c r="C3471" s="148" t="s">
        <v>243</v>
      </c>
      <c r="D3471" s="148" t="s">
        <v>239</v>
      </c>
      <c r="E3471" s="148">
        <v>181846.69820972002</v>
      </c>
      <c r="F3471" s="148" t="s">
        <v>37</v>
      </c>
    </row>
    <row r="3472" spans="1:6" ht="15.75">
      <c r="A3472" t="str">
        <f t="shared" si="54"/>
        <v>FerreyresMazoutECS</v>
      </c>
      <c r="C3472" s="148" t="s">
        <v>243</v>
      </c>
      <c r="D3472" s="148" t="s">
        <v>70</v>
      </c>
      <c r="E3472" s="148">
        <v>34211.058823529995</v>
      </c>
      <c r="F3472" s="148" t="s">
        <v>37</v>
      </c>
    </row>
    <row r="3473" spans="1:6" ht="15.75">
      <c r="A3473" t="str">
        <f t="shared" si="54"/>
        <v>FerreyresNon renseignéECS</v>
      </c>
      <c r="C3473" s="148" t="s">
        <v>243</v>
      </c>
      <c r="D3473" s="148" t="s">
        <v>696</v>
      </c>
      <c r="E3473" s="148">
        <v>0</v>
      </c>
      <c r="F3473" s="148" t="s">
        <v>37</v>
      </c>
    </row>
    <row r="3474" spans="1:6" ht="15.75">
      <c r="A3474" t="str">
        <f t="shared" si="54"/>
        <v>FerreyresPACECS</v>
      </c>
      <c r="C3474" s="148" t="s">
        <v>243</v>
      </c>
      <c r="D3474" s="148" t="s">
        <v>69</v>
      </c>
      <c r="E3474" s="148">
        <v>8864.6923076799994</v>
      </c>
      <c r="F3474" s="148" t="s">
        <v>37</v>
      </c>
    </row>
    <row r="3475" spans="1:6" ht="15.75">
      <c r="A3475" t="str">
        <f t="shared" si="54"/>
        <v>FerreyresSolaireECS</v>
      </c>
      <c r="C3475" s="148" t="s">
        <v>243</v>
      </c>
      <c r="D3475" s="148" t="s">
        <v>240</v>
      </c>
      <c r="E3475" s="148">
        <v>48985.999999999993</v>
      </c>
      <c r="F3475" s="148" t="s">
        <v>37</v>
      </c>
    </row>
    <row r="3476" spans="1:6" ht="15.75">
      <c r="A3476" t="str">
        <f t="shared" si="54"/>
        <v>FeyBoisECS</v>
      </c>
      <c r="C3476" s="148" t="s">
        <v>461</v>
      </c>
      <c r="D3476" s="148" t="s">
        <v>66</v>
      </c>
      <c r="E3476" s="148">
        <v>271848.48627451004</v>
      </c>
      <c r="F3476" s="148" t="s">
        <v>37</v>
      </c>
    </row>
    <row r="3477" spans="1:6" ht="15.75">
      <c r="A3477" t="str">
        <f t="shared" si="54"/>
        <v>FeyCADECS</v>
      </c>
      <c r="C3477" s="148" t="s">
        <v>461</v>
      </c>
      <c r="D3477" s="148" t="s">
        <v>242</v>
      </c>
      <c r="E3477" s="148">
        <v>649.6</v>
      </c>
      <c r="F3477" s="148" t="s">
        <v>37</v>
      </c>
    </row>
    <row r="3478" spans="1:6" ht="15.75">
      <c r="A3478" t="str">
        <f t="shared" si="54"/>
        <v>FeyElectricitéECS</v>
      </c>
      <c r="C3478" s="148" t="s">
        <v>461</v>
      </c>
      <c r="D3478" s="148" t="s">
        <v>97</v>
      </c>
      <c r="E3478" s="148">
        <v>275372.53333332</v>
      </c>
      <c r="F3478" s="148" t="s">
        <v>37</v>
      </c>
    </row>
    <row r="3479" spans="1:6" ht="15.75">
      <c r="A3479" t="str">
        <f t="shared" si="54"/>
        <v>FeyGazECS</v>
      </c>
      <c r="C3479" s="148" t="s">
        <v>461</v>
      </c>
      <c r="D3479" s="148" t="s">
        <v>239</v>
      </c>
      <c r="E3479" s="148">
        <v>25826.902813299996</v>
      </c>
      <c r="F3479" s="148" t="s">
        <v>37</v>
      </c>
    </row>
    <row r="3480" spans="1:6" ht="15.75">
      <c r="A3480" t="str">
        <f t="shared" si="54"/>
        <v>FeyMazoutECS</v>
      </c>
      <c r="C3480" s="148" t="s">
        <v>461</v>
      </c>
      <c r="D3480" s="148" t="s">
        <v>70</v>
      </c>
      <c r="E3480" s="148">
        <v>416706.42513371003</v>
      </c>
      <c r="F3480" s="148" t="s">
        <v>37</v>
      </c>
    </row>
    <row r="3481" spans="1:6" ht="15.75">
      <c r="A3481" t="str">
        <f t="shared" si="54"/>
        <v>FeyNon renseignéECS</v>
      </c>
      <c r="C3481" s="148" t="s">
        <v>461</v>
      </c>
      <c r="D3481" s="148" t="s">
        <v>696</v>
      </c>
      <c r="E3481" s="148">
        <v>0</v>
      </c>
      <c r="F3481" s="148" t="s">
        <v>37</v>
      </c>
    </row>
    <row r="3482" spans="1:6" ht="15.75">
      <c r="A3482" t="str">
        <f t="shared" si="54"/>
        <v>FeyPACECS</v>
      </c>
      <c r="C3482" s="148" t="s">
        <v>461</v>
      </c>
      <c r="D3482" s="148" t="s">
        <v>69</v>
      </c>
      <c r="E3482" s="148">
        <v>19538.794004700001</v>
      </c>
      <c r="F3482" s="148" t="s">
        <v>37</v>
      </c>
    </row>
    <row r="3483" spans="1:6" ht="15.75">
      <c r="A3483" t="str">
        <f t="shared" si="54"/>
        <v>FeySolaireECS</v>
      </c>
      <c r="C3483" s="148" t="s">
        <v>461</v>
      </c>
      <c r="D3483" s="148" t="s">
        <v>240</v>
      </c>
      <c r="E3483" s="148">
        <v>141096.89999999997</v>
      </c>
      <c r="F3483" s="148" t="s">
        <v>37</v>
      </c>
    </row>
    <row r="3484" spans="1:6" ht="15.75">
      <c r="A3484" t="str">
        <f t="shared" si="54"/>
        <v>FiezBoisECS</v>
      </c>
      <c r="C3484" s="148" t="s">
        <v>462</v>
      </c>
      <c r="D3484" s="148" t="s">
        <v>66</v>
      </c>
      <c r="E3484" s="148">
        <v>92650.572549029996</v>
      </c>
      <c r="F3484" s="148" t="s">
        <v>37</v>
      </c>
    </row>
    <row r="3485" spans="1:6" ht="15.75">
      <c r="A3485" t="str">
        <f t="shared" si="54"/>
        <v>FiezCADECS</v>
      </c>
      <c r="C3485" s="148" t="s">
        <v>462</v>
      </c>
      <c r="D3485" s="148" t="s">
        <v>242</v>
      </c>
      <c r="E3485" s="148">
        <v>380.8</v>
      </c>
      <c r="F3485" s="148" t="s">
        <v>37</v>
      </c>
    </row>
    <row r="3486" spans="1:6" ht="15.75">
      <c r="A3486" t="str">
        <f t="shared" si="54"/>
        <v>FiezElectricitéECS</v>
      </c>
      <c r="C3486" s="148" t="s">
        <v>462</v>
      </c>
      <c r="D3486" s="148" t="s">
        <v>97</v>
      </c>
      <c r="E3486" s="148">
        <v>91986.222222219993</v>
      </c>
      <c r="F3486" s="148" t="s">
        <v>37</v>
      </c>
    </row>
    <row r="3487" spans="1:6" ht="15.75">
      <c r="A3487" t="str">
        <f t="shared" si="54"/>
        <v>FiezMazoutECS</v>
      </c>
      <c r="C3487" s="148" t="s">
        <v>462</v>
      </c>
      <c r="D3487" s="148" t="s">
        <v>70</v>
      </c>
      <c r="E3487" s="148">
        <v>375536.0000000099</v>
      </c>
      <c r="F3487" s="148" t="s">
        <v>37</v>
      </c>
    </row>
    <row r="3488" spans="1:6" ht="15.75">
      <c r="A3488" t="str">
        <f t="shared" si="54"/>
        <v>FiezNon renseignéECS</v>
      </c>
      <c r="C3488" s="148" t="s">
        <v>462</v>
      </c>
      <c r="D3488" s="148" t="s">
        <v>696</v>
      </c>
      <c r="E3488" s="148">
        <v>0</v>
      </c>
      <c r="F3488" s="148" t="s">
        <v>37</v>
      </c>
    </row>
    <row r="3489" spans="1:6" ht="15.75">
      <c r="A3489" t="str">
        <f t="shared" si="54"/>
        <v>FiezPACECS</v>
      </c>
      <c r="C3489" s="148" t="s">
        <v>462</v>
      </c>
      <c r="D3489" s="148" t="s">
        <v>69</v>
      </c>
      <c r="E3489" s="148">
        <v>49254.170754379993</v>
      </c>
      <c r="F3489" s="148" t="s">
        <v>37</v>
      </c>
    </row>
    <row r="3490" spans="1:6" ht="15.75">
      <c r="A3490" t="str">
        <f t="shared" si="54"/>
        <v>FiezSolaireECS</v>
      </c>
      <c r="C3490" s="148" t="s">
        <v>462</v>
      </c>
      <c r="D3490" s="148" t="s">
        <v>240</v>
      </c>
      <c r="E3490" s="148">
        <v>55542.19999999999</v>
      </c>
      <c r="F3490" s="148" t="s">
        <v>37</v>
      </c>
    </row>
    <row r="3491" spans="1:6" ht="15.75">
      <c r="A3491" t="str">
        <f t="shared" si="54"/>
        <v>Fontaines-sur-GrandsonBoisECS</v>
      </c>
      <c r="C3491" s="148" t="s">
        <v>641</v>
      </c>
      <c r="D3491" s="148" t="s">
        <v>66</v>
      </c>
      <c r="E3491" s="148">
        <v>74457.600000000006</v>
      </c>
      <c r="F3491" s="148" t="s">
        <v>37</v>
      </c>
    </row>
    <row r="3492" spans="1:6" ht="15.75">
      <c r="A3492" t="str">
        <f t="shared" si="54"/>
        <v>Fontaines-sur-GrandsonElectricitéECS</v>
      </c>
      <c r="C3492" s="148" t="s">
        <v>641</v>
      </c>
      <c r="D3492" s="148" t="s">
        <v>97</v>
      </c>
      <c r="E3492" s="148">
        <v>50062.444444450011</v>
      </c>
      <c r="F3492" s="148" t="s">
        <v>37</v>
      </c>
    </row>
    <row r="3493" spans="1:6" ht="15.75">
      <c r="A3493" t="str">
        <f t="shared" si="54"/>
        <v>Fontaines-sur-GrandsonGazECS</v>
      </c>
      <c r="C3493" s="148" t="s">
        <v>641</v>
      </c>
      <c r="D3493" s="148" t="s">
        <v>239</v>
      </c>
      <c r="E3493" s="148" t="e">
        <v>#N/A</v>
      </c>
      <c r="F3493" s="148" t="s">
        <v>37</v>
      </c>
    </row>
    <row r="3494" spans="1:6" ht="15.75">
      <c r="A3494" t="str">
        <f t="shared" si="54"/>
        <v>Fontaines-sur-GrandsonMazoutECS</v>
      </c>
      <c r="C3494" s="148" t="s">
        <v>641</v>
      </c>
      <c r="D3494" s="148" t="s">
        <v>70</v>
      </c>
      <c r="E3494" s="148">
        <v>198636.94117647005</v>
      </c>
      <c r="F3494" s="148" t="s">
        <v>37</v>
      </c>
    </row>
    <row r="3495" spans="1:6" ht="15.75">
      <c r="A3495" t="str">
        <f t="shared" si="54"/>
        <v>Fontaines-sur-GrandsonNon renseignéECS</v>
      </c>
      <c r="C3495" s="148" t="s">
        <v>641</v>
      </c>
      <c r="D3495" s="148" t="s">
        <v>696</v>
      </c>
      <c r="E3495" s="148">
        <v>0</v>
      </c>
      <c r="F3495" s="148" t="s">
        <v>37</v>
      </c>
    </row>
    <row r="3496" spans="1:6" ht="15.75">
      <c r="A3496" t="str">
        <f t="shared" si="54"/>
        <v>Fontaines-sur-GrandsonPACECS</v>
      </c>
      <c r="C3496" s="148" t="s">
        <v>641</v>
      </c>
      <c r="D3496" s="148" t="s">
        <v>69</v>
      </c>
      <c r="E3496" s="148">
        <v>4781.8193979999996</v>
      </c>
      <c r="F3496" s="148" t="s">
        <v>37</v>
      </c>
    </row>
    <row r="3497" spans="1:6" ht="15.75">
      <c r="A3497" t="str">
        <f t="shared" si="54"/>
        <v>Fontaines-sur-GrandsonSolaireECS</v>
      </c>
      <c r="C3497" s="148" t="s">
        <v>641</v>
      </c>
      <c r="D3497" s="148" t="s">
        <v>240</v>
      </c>
      <c r="E3497" s="148">
        <v>50073.799999999996</v>
      </c>
      <c r="F3497" s="148" t="s">
        <v>37</v>
      </c>
    </row>
    <row r="3498" spans="1:6" ht="15.75">
      <c r="A3498" t="str">
        <f t="shared" si="54"/>
        <v>Forel (Lavaux)Autre agent énergétiqueECS</v>
      </c>
      <c r="C3498" s="148" t="s">
        <v>463</v>
      </c>
      <c r="D3498" s="148" t="s">
        <v>245</v>
      </c>
      <c r="E3498" s="148">
        <v>26214.588235299998</v>
      </c>
      <c r="F3498" s="148" t="s">
        <v>37</v>
      </c>
    </row>
    <row r="3499" spans="1:6" ht="15.75">
      <c r="A3499" t="str">
        <f t="shared" si="54"/>
        <v>Forel (Lavaux)BoisECS</v>
      </c>
      <c r="C3499" s="148" t="s">
        <v>463</v>
      </c>
      <c r="D3499" s="148" t="s">
        <v>66</v>
      </c>
      <c r="E3499" s="148">
        <v>372418.95215686999</v>
      </c>
      <c r="F3499" s="148" t="s">
        <v>37</v>
      </c>
    </row>
    <row r="3500" spans="1:6" ht="15.75">
      <c r="A3500" t="str">
        <f t="shared" si="54"/>
        <v>Forel (Lavaux)CADECS</v>
      </c>
      <c r="C3500" s="148" t="s">
        <v>463</v>
      </c>
      <c r="D3500" s="148" t="s">
        <v>242</v>
      </c>
      <c r="E3500" s="148" t="e">
        <v>#N/A</v>
      </c>
      <c r="F3500" s="148" t="s">
        <v>37</v>
      </c>
    </row>
    <row r="3501" spans="1:6" ht="15.75">
      <c r="A3501" t="str">
        <f t="shared" si="54"/>
        <v>Forel (Lavaux)CharbonECS</v>
      </c>
      <c r="C3501" s="148" t="s">
        <v>463</v>
      </c>
      <c r="D3501" s="148" t="s">
        <v>695</v>
      </c>
      <c r="E3501" s="148" t="e">
        <v>#N/A</v>
      </c>
      <c r="F3501" s="148" t="s">
        <v>37</v>
      </c>
    </row>
    <row r="3502" spans="1:6" ht="15.75">
      <c r="A3502" t="str">
        <f t="shared" si="54"/>
        <v>Forel (Lavaux)ElectricitéECS</v>
      </c>
      <c r="C3502" s="148" t="s">
        <v>463</v>
      </c>
      <c r="D3502" s="148" t="s">
        <v>97</v>
      </c>
      <c r="E3502" s="148">
        <v>961293.19999995932</v>
      </c>
      <c r="F3502" s="148" t="s">
        <v>37</v>
      </c>
    </row>
    <row r="3503" spans="1:6" ht="15.75">
      <c r="A3503" t="str">
        <f t="shared" si="54"/>
        <v>Forel (Lavaux)GazECS</v>
      </c>
      <c r="C3503" s="148" t="s">
        <v>463</v>
      </c>
      <c r="D3503" s="148" t="s">
        <v>239</v>
      </c>
      <c r="E3503" s="148">
        <v>488016.17135543999</v>
      </c>
      <c r="F3503" s="148" t="s">
        <v>37</v>
      </c>
    </row>
    <row r="3504" spans="1:6" ht="15.75">
      <c r="A3504" t="str">
        <f t="shared" si="54"/>
        <v>Forel (Lavaux)MazoutECS</v>
      </c>
      <c r="C3504" s="148" t="s">
        <v>463</v>
      </c>
      <c r="D3504" s="148" t="s">
        <v>70</v>
      </c>
      <c r="E3504" s="148">
        <v>1923419.3176469994</v>
      </c>
      <c r="F3504" s="148" t="s">
        <v>37</v>
      </c>
    </row>
    <row r="3505" spans="1:6" ht="15.75">
      <c r="A3505" t="str">
        <f t="shared" si="54"/>
        <v>Forel (Lavaux)Non renseignéECS</v>
      </c>
      <c r="C3505" s="148" t="s">
        <v>463</v>
      </c>
      <c r="D3505" s="148" t="s">
        <v>696</v>
      </c>
      <c r="E3505" s="148">
        <v>0</v>
      </c>
      <c r="F3505" s="148" t="s">
        <v>37</v>
      </c>
    </row>
    <row r="3506" spans="1:6" ht="15.75">
      <c r="A3506" t="str">
        <f t="shared" si="54"/>
        <v>Forel (Lavaux)PACECS</v>
      </c>
      <c r="C3506" s="148" t="s">
        <v>463</v>
      </c>
      <c r="D3506" s="148" t="s">
        <v>69</v>
      </c>
      <c r="E3506" s="148">
        <v>51970.596060930009</v>
      </c>
      <c r="F3506" s="148" t="s">
        <v>37</v>
      </c>
    </row>
    <row r="3507" spans="1:6" ht="15.75">
      <c r="A3507" t="str">
        <f t="shared" si="54"/>
        <v>Forel (Lavaux)SolaireECS</v>
      </c>
      <c r="C3507" s="148" t="s">
        <v>463</v>
      </c>
      <c r="D3507" s="148" t="s">
        <v>240</v>
      </c>
      <c r="E3507" s="148">
        <v>74900.070000000022</v>
      </c>
      <c r="F3507" s="148" t="s">
        <v>37</v>
      </c>
    </row>
    <row r="3508" spans="1:6" ht="15.75">
      <c r="A3508" t="str">
        <f t="shared" si="54"/>
        <v>FounexAutre agent énergétiqueECS</v>
      </c>
      <c r="C3508" s="148" t="s">
        <v>464</v>
      </c>
      <c r="D3508" s="148" t="s">
        <v>245</v>
      </c>
      <c r="E3508" s="148" t="e">
        <v>#N/A</v>
      </c>
      <c r="F3508" s="148" t="s">
        <v>37</v>
      </c>
    </row>
    <row r="3509" spans="1:6" ht="15.75">
      <c r="A3509" t="str">
        <f t="shared" si="54"/>
        <v>FounexBoisECS</v>
      </c>
      <c r="C3509" s="148" t="s">
        <v>464</v>
      </c>
      <c r="D3509" s="148" t="s">
        <v>66</v>
      </c>
      <c r="E3509" s="148">
        <v>426689.80392156</v>
      </c>
      <c r="F3509" s="148" t="s">
        <v>37</v>
      </c>
    </row>
    <row r="3510" spans="1:6" ht="15.75">
      <c r="A3510" t="str">
        <f t="shared" si="54"/>
        <v>FounexCADECS</v>
      </c>
      <c r="C3510" s="148" t="s">
        <v>464</v>
      </c>
      <c r="D3510" s="148" t="s">
        <v>242</v>
      </c>
      <c r="E3510" s="148">
        <v>27972</v>
      </c>
      <c r="F3510" s="148" t="s">
        <v>37</v>
      </c>
    </row>
    <row r="3511" spans="1:6" ht="15.75">
      <c r="A3511" t="str">
        <f t="shared" si="54"/>
        <v>FounexElectricitéECS</v>
      </c>
      <c r="C3511" s="148" t="s">
        <v>464</v>
      </c>
      <c r="D3511" s="148" t="s">
        <v>97</v>
      </c>
      <c r="E3511" s="148">
        <v>819318.57777791005</v>
      </c>
      <c r="F3511" s="148" t="s">
        <v>37</v>
      </c>
    </row>
    <row r="3512" spans="1:6" ht="15.75">
      <c r="A3512" t="str">
        <f t="shared" si="54"/>
        <v>FounexGazECS</v>
      </c>
      <c r="C3512" s="148" t="s">
        <v>464</v>
      </c>
      <c r="D3512" s="148" t="s">
        <v>239</v>
      </c>
      <c r="E3512" s="148">
        <v>174878.38976988001</v>
      </c>
      <c r="F3512" s="148" t="s">
        <v>37</v>
      </c>
    </row>
    <row r="3513" spans="1:6" ht="15.75">
      <c r="A3513" t="str">
        <f t="shared" si="54"/>
        <v>FounexMazoutECS</v>
      </c>
      <c r="C3513" s="148" t="s">
        <v>464</v>
      </c>
      <c r="D3513" s="148" t="s">
        <v>70</v>
      </c>
      <c r="E3513" s="148">
        <v>2867458.0491979993</v>
      </c>
      <c r="F3513" s="148" t="s">
        <v>37</v>
      </c>
    </row>
    <row r="3514" spans="1:6" ht="15.75">
      <c r="A3514" t="str">
        <f t="shared" si="54"/>
        <v>FounexNon renseignéECS</v>
      </c>
      <c r="C3514" s="148" t="s">
        <v>464</v>
      </c>
      <c r="D3514" s="148" t="s">
        <v>696</v>
      </c>
      <c r="E3514" s="148">
        <v>0</v>
      </c>
      <c r="F3514" s="148" t="s">
        <v>37</v>
      </c>
    </row>
    <row r="3515" spans="1:6" ht="15.75">
      <c r="A3515" t="str">
        <f t="shared" si="54"/>
        <v>FounexPACECS</v>
      </c>
      <c r="C3515" s="148" t="s">
        <v>464</v>
      </c>
      <c r="D3515" s="148" t="s">
        <v>69</v>
      </c>
      <c r="E3515" s="148">
        <v>93003.713712390003</v>
      </c>
      <c r="F3515" s="148" t="s">
        <v>37</v>
      </c>
    </row>
    <row r="3516" spans="1:6" ht="15.75">
      <c r="A3516" t="str">
        <f t="shared" si="54"/>
        <v>FounexSolaireECS</v>
      </c>
      <c r="C3516" s="148" t="s">
        <v>464</v>
      </c>
      <c r="D3516" s="148" t="s">
        <v>240</v>
      </c>
      <c r="E3516" s="148">
        <v>476215.46</v>
      </c>
      <c r="F3516" s="148" t="s">
        <v>37</v>
      </c>
    </row>
    <row r="3517" spans="1:6" ht="15.75">
      <c r="A3517" t="str">
        <f t="shared" si="54"/>
        <v>FroidevilleBoisECS</v>
      </c>
      <c r="C3517" s="148" t="s">
        <v>465</v>
      </c>
      <c r="D3517" s="148" t="s">
        <v>66</v>
      </c>
      <c r="E3517" s="148">
        <v>154070.65882350996</v>
      </c>
      <c r="F3517" s="148" t="s">
        <v>37</v>
      </c>
    </row>
    <row r="3518" spans="1:6" ht="15.75">
      <c r="A3518" t="str">
        <f t="shared" si="54"/>
        <v>FroidevilleCADECS</v>
      </c>
      <c r="C3518" s="148" t="s">
        <v>465</v>
      </c>
      <c r="D3518" s="148" t="s">
        <v>242</v>
      </c>
      <c r="E3518" s="148">
        <v>79814</v>
      </c>
      <c r="F3518" s="148" t="s">
        <v>37</v>
      </c>
    </row>
    <row r="3519" spans="1:6" ht="15.75">
      <c r="A3519" t="str">
        <f t="shared" si="54"/>
        <v>FroidevilleElectricitéECS</v>
      </c>
      <c r="C3519" s="148" t="s">
        <v>465</v>
      </c>
      <c r="D3519" s="148" t="s">
        <v>97</v>
      </c>
      <c r="E3519" s="148">
        <v>731386.44444448024</v>
      </c>
      <c r="F3519" s="148" t="s">
        <v>37</v>
      </c>
    </row>
    <row r="3520" spans="1:6" ht="15.75">
      <c r="A3520" t="str">
        <f t="shared" si="54"/>
        <v>FroidevilleGazECS</v>
      </c>
      <c r="C3520" s="148" t="s">
        <v>465</v>
      </c>
      <c r="D3520" s="148" t="s">
        <v>239</v>
      </c>
      <c r="E3520" s="148">
        <v>957104.28900251945</v>
      </c>
      <c r="F3520" s="148" t="s">
        <v>37</v>
      </c>
    </row>
    <row r="3521" spans="1:6" ht="15.75">
      <c r="A3521" t="str">
        <f t="shared" si="54"/>
        <v>FroidevilleMazoutECS</v>
      </c>
      <c r="C3521" s="148" t="s">
        <v>465</v>
      </c>
      <c r="D3521" s="148" t="s">
        <v>70</v>
      </c>
      <c r="E3521" s="148">
        <v>619863.99999999022</v>
      </c>
      <c r="F3521" s="148" t="s">
        <v>37</v>
      </c>
    </row>
    <row r="3522" spans="1:6" ht="15.75">
      <c r="A3522" t="str">
        <f t="shared" si="54"/>
        <v>FroidevilleNon renseignéECS</v>
      </c>
      <c r="C3522" s="148" t="s">
        <v>465</v>
      </c>
      <c r="D3522" s="148" t="s">
        <v>696</v>
      </c>
      <c r="E3522" s="148">
        <v>0</v>
      </c>
      <c r="F3522" s="148" t="s">
        <v>37</v>
      </c>
    </row>
    <row r="3523" spans="1:6" ht="15.75">
      <c r="A3523" t="str">
        <f t="shared" si="54"/>
        <v>FroidevillePACECS</v>
      </c>
      <c r="C3523" s="148" t="s">
        <v>465</v>
      </c>
      <c r="D3523" s="148" t="s">
        <v>69</v>
      </c>
      <c r="E3523" s="148">
        <v>37750.643626920006</v>
      </c>
      <c r="F3523" s="148" t="s">
        <v>37</v>
      </c>
    </row>
    <row r="3524" spans="1:6" ht="15.75">
      <c r="A3524" t="str">
        <f t="shared" si="54"/>
        <v>FroidevilleSolaireECS</v>
      </c>
      <c r="C3524" s="148" t="s">
        <v>465</v>
      </c>
      <c r="D3524" s="148" t="s">
        <v>240</v>
      </c>
      <c r="E3524" s="148">
        <v>387696.33000000007</v>
      </c>
      <c r="F3524" s="148" t="s">
        <v>37</v>
      </c>
    </row>
    <row r="3525" spans="1:6" ht="15.75">
      <c r="A3525" t="str">
        <f t="shared" si="54"/>
        <v>FroidevilleCharbonECS</v>
      </c>
      <c r="C3525" s="148" t="s">
        <v>465</v>
      </c>
      <c r="D3525" s="148" t="s">
        <v>695</v>
      </c>
      <c r="E3525" s="148" t="e">
        <v>#N/A</v>
      </c>
      <c r="F3525" s="148" t="s">
        <v>37</v>
      </c>
    </row>
    <row r="3526" spans="1:6" ht="15.75">
      <c r="A3526" t="str">
        <f t="shared" si="54"/>
        <v>GenolierBoisECS</v>
      </c>
      <c r="C3526" s="148" t="s">
        <v>466</v>
      </c>
      <c r="D3526" s="148" t="s">
        <v>66</v>
      </c>
      <c r="E3526" s="148">
        <v>253403.71137255002</v>
      </c>
      <c r="F3526" s="148" t="s">
        <v>37</v>
      </c>
    </row>
    <row r="3527" spans="1:6" ht="15.75">
      <c r="A3527" t="str">
        <f t="shared" si="54"/>
        <v>GenolierCADECS</v>
      </c>
      <c r="C3527" s="148" t="s">
        <v>466</v>
      </c>
      <c r="D3527" s="148" t="s">
        <v>242</v>
      </c>
      <c r="E3527" s="148">
        <v>283290</v>
      </c>
      <c r="F3527" s="148" t="s">
        <v>37</v>
      </c>
    </row>
    <row r="3528" spans="1:6" ht="15.75">
      <c r="A3528" t="str">
        <f t="shared" si="54"/>
        <v>GenolierElectricitéECS</v>
      </c>
      <c r="C3528" s="148" t="s">
        <v>466</v>
      </c>
      <c r="D3528" s="148" t="s">
        <v>97</v>
      </c>
      <c r="E3528" s="148">
        <v>728537.28888886026</v>
      </c>
      <c r="F3528" s="148" t="s">
        <v>37</v>
      </c>
    </row>
    <row r="3529" spans="1:6" ht="15.75">
      <c r="A3529" t="str">
        <f t="shared" si="54"/>
        <v>GenolierGazECS</v>
      </c>
      <c r="C3529" s="148" t="s">
        <v>466</v>
      </c>
      <c r="D3529" s="148" t="s">
        <v>239</v>
      </c>
      <c r="E3529" s="148">
        <v>52070.117647070008</v>
      </c>
      <c r="F3529" s="148" t="s">
        <v>37</v>
      </c>
    </row>
    <row r="3530" spans="1:6" ht="15.75">
      <c r="A3530" t="str">
        <f t="shared" si="54"/>
        <v>GenolierMazoutECS</v>
      </c>
      <c r="C3530" s="148" t="s">
        <v>466</v>
      </c>
      <c r="D3530" s="148" t="s">
        <v>70</v>
      </c>
      <c r="E3530" s="148">
        <v>1512881.8352940495</v>
      </c>
      <c r="F3530" s="148" t="s">
        <v>37</v>
      </c>
    </row>
    <row r="3531" spans="1:6" ht="15.75">
      <c r="A3531" t="str">
        <f t="shared" ref="A3531:A3594" si="55">_xlfn.CONCAT(C3531,D3531,F3531)</f>
        <v>GenolierNon renseignéECS</v>
      </c>
      <c r="C3531" s="148" t="s">
        <v>466</v>
      </c>
      <c r="D3531" s="148" t="s">
        <v>696</v>
      </c>
      <c r="E3531" s="148">
        <v>0</v>
      </c>
      <c r="F3531" s="148" t="s">
        <v>37</v>
      </c>
    </row>
    <row r="3532" spans="1:6" ht="15.75">
      <c r="A3532" t="str">
        <f t="shared" si="55"/>
        <v>GenolierPACECS</v>
      </c>
      <c r="C3532" s="148" t="s">
        <v>466</v>
      </c>
      <c r="D3532" s="148" t="s">
        <v>69</v>
      </c>
      <c r="E3532" s="148">
        <v>101384.66171188999</v>
      </c>
      <c r="F3532" s="148" t="s">
        <v>37</v>
      </c>
    </row>
    <row r="3533" spans="1:6" ht="15.75">
      <c r="A3533" t="str">
        <f t="shared" si="55"/>
        <v>GenolierAutre agent énergétiqueECS</v>
      </c>
      <c r="C3533" s="148" t="s">
        <v>466</v>
      </c>
      <c r="D3533" s="148" t="s">
        <v>245</v>
      </c>
      <c r="E3533" s="148">
        <v>6377.4117647100002</v>
      </c>
      <c r="F3533" s="148" t="s">
        <v>37</v>
      </c>
    </row>
    <row r="3534" spans="1:6" ht="15.75">
      <c r="A3534" t="str">
        <f t="shared" si="55"/>
        <v>GenolierSolaireECS</v>
      </c>
      <c r="C3534" s="148" t="s">
        <v>466</v>
      </c>
      <c r="D3534" s="148" t="s">
        <v>240</v>
      </c>
      <c r="E3534" s="148">
        <v>148390.9</v>
      </c>
      <c r="F3534" s="148" t="s">
        <v>37</v>
      </c>
    </row>
    <row r="3535" spans="1:6" ht="15.75">
      <c r="A3535" t="str">
        <f t="shared" si="55"/>
        <v>GiezAutre agent énergétiqueECS</v>
      </c>
      <c r="C3535" s="148" t="s">
        <v>467</v>
      </c>
      <c r="D3535" s="148" t="s">
        <v>245</v>
      </c>
      <c r="E3535" s="148" t="e">
        <v>#N/A</v>
      </c>
      <c r="F3535" s="148" t="s">
        <v>37</v>
      </c>
    </row>
    <row r="3536" spans="1:6" ht="15.75">
      <c r="A3536" t="str">
        <f t="shared" si="55"/>
        <v>GiezBoisECS</v>
      </c>
      <c r="C3536" s="148" t="s">
        <v>467</v>
      </c>
      <c r="D3536" s="148" t="s">
        <v>66</v>
      </c>
      <c r="E3536" s="148">
        <v>93336.407843140012</v>
      </c>
      <c r="F3536" s="148" t="s">
        <v>37</v>
      </c>
    </row>
    <row r="3537" spans="1:6" ht="15.75">
      <c r="A3537" t="str">
        <f t="shared" si="55"/>
        <v>GiezCADECS</v>
      </c>
      <c r="C3537" s="148" t="s">
        <v>467</v>
      </c>
      <c r="D3537" s="148" t="s">
        <v>242</v>
      </c>
      <c r="E3537" s="148">
        <v>1169</v>
      </c>
      <c r="F3537" s="148" t="s">
        <v>37</v>
      </c>
    </row>
    <row r="3538" spans="1:6" ht="15.75">
      <c r="A3538" t="str">
        <f t="shared" si="55"/>
        <v>GiezElectricitéECS</v>
      </c>
      <c r="C3538" s="148" t="s">
        <v>467</v>
      </c>
      <c r="D3538" s="148" t="s">
        <v>97</v>
      </c>
      <c r="E3538" s="148">
        <v>264478.66666666995</v>
      </c>
      <c r="F3538" s="148" t="s">
        <v>37</v>
      </c>
    </row>
    <row r="3539" spans="1:6" ht="15.75">
      <c r="A3539" t="str">
        <f t="shared" si="55"/>
        <v>GiezGazECS</v>
      </c>
      <c r="C3539" s="148" t="s">
        <v>467</v>
      </c>
      <c r="D3539" s="148" t="s">
        <v>239</v>
      </c>
      <c r="E3539" s="148" t="e">
        <v>#N/A</v>
      </c>
      <c r="F3539" s="148" t="s">
        <v>37</v>
      </c>
    </row>
    <row r="3540" spans="1:6" ht="15.75">
      <c r="A3540" t="str">
        <f t="shared" si="55"/>
        <v>GiezMazoutECS</v>
      </c>
      <c r="C3540" s="148" t="s">
        <v>467</v>
      </c>
      <c r="D3540" s="148" t="s">
        <v>70</v>
      </c>
      <c r="E3540" s="148">
        <v>338528.23529411003</v>
      </c>
      <c r="F3540" s="148" t="s">
        <v>37</v>
      </c>
    </row>
    <row r="3541" spans="1:6" ht="15.75">
      <c r="A3541" t="str">
        <f t="shared" si="55"/>
        <v>GiezNon renseignéECS</v>
      </c>
      <c r="C3541" s="148" t="s">
        <v>467</v>
      </c>
      <c r="D3541" s="148" t="s">
        <v>696</v>
      </c>
      <c r="E3541" s="148">
        <v>0</v>
      </c>
      <c r="F3541" s="148" t="s">
        <v>37</v>
      </c>
    </row>
    <row r="3542" spans="1:6" ht="15.75">
      <c r="A3542" t="str">
        <f t="shared" si="55"/>
        <v>GiezPACECS</v>
      </c>
      <c r="C3542" s="148" t="s">
        <v>467</v>
      </c>
      <c r="D3542" s="148" t="s">
        <v>69</v>
      </c>
      <c r="E3542" s="148">
        <v>17062.356496960001</v>
      </c>
      <c r="F3542" s="148" t="s">
        <v>37</v>
      </c>
    </row>
    <row r="3543" spans="1:6" ht="15.75">
      <c r="A3543" t="str">
        <f t="shared" si="55"/>
        <v>GiezSolaireECS</v>
      </c>
      <c r="C3543" s="148" t="s">
        <v>467</v>
      </c>
      <c r="D3543" s="148" t="s">
        <v>240</v>
      </c>
      <c r="E3543" s="148">
        <v>101945.5</v>
      </c>
      <c r="F3543" s="148" t="s">
        <v>37</v>
      </c>
    </row>
    <row r="3544" spans="1:6" ht="15.75">
      <c r="A3544" t="str">
        <f t="shared" si="55"/>
        <v>GillyBoisECS</v>
      </c>
      <c r="C3544" s="148" t="s">
        <v>468</v>
      </c>
      <c r="D3544" s="148" t="s">
        <v>66</v>
      </c>
      <c r="E3544" s="148">
        <v>527512.48627450003</v>
      </c>
      <c r="F3544" s="148" t="s">
        <v>37</v>
      </c>
    </row>
    <row r="3545" spans="1:6" ht="15.75">
      <c r="A3545" t="str">
        <f t="shared" si="55"/>
        <v>GillyElectricitéECS</v>
      </c>
      <c r="C3545" s="148" t="s">
        <v>468</v>
      </c>
      <c r="D3545" s="148" t="s">
        <v>97</v>
      </c>
      <c r="E3545" s="148">
        <v>204715.10065360001</v>
      </c>
      <c r="F3545" s="148" t="s">
        <v>37</v>
      </c>
    </row>
    <row r="3546" spans="1:6" ht="15.75">
      <c r="A3546" t="str">
        <f t="shared" si="55"/>
        <v>GillyGazECS</v>
      </c>
      <c r="C3546" s="148" t="s">
        <v>468</v>
      </c>
      <c r="D3546" s="148" t="s">
        <v>239</v>
      </c>
      <c r="E3546" s="148">
        <v>691292.55856770009</v>
      </c>
      <c r="F3546" s="148" t="s">
        <v>37</v>
      </c>
    </row>
    <row r="3547" spans="1:6" ht="15.75">
      <c r="A3547" t="str">
        <f t="shared" si="55"/>
        <v>GillyMazoutECS</v>
      </c>
      <c r="C3547" s="148" t="s">
        <v>468</v>
      </c>
      <c r="D3547" s="148" t="s">
        <v>70</v>
      </c>
      <c r="E3547" s="148">
        <v>807131.62352941989</v>
      </c>
      <c r="F3547" s="148" t="s">
        <v>37</v>
      </c>
    </row>
    <row r="3548" spans="1:6" ht="15.75">
      <c r="A3548" t="str">
        <f t="shared" si="55"/>
        <v>GillyNon renseignéECS</v>
      </c>
      <c r="C3548" s="148" t="s">
        <v>468</v>
      </c>
      <c r="D3548" s="148" t="s">
        <v>696</v>
      </c>
      <c r="E3548" s="148">
        <v>0</v>
      </c>
      <c r="F3548" s="148" t="s">
        <v>37</v>
      </c>
    </row>
    <row r="3549" spans="1:6" ht="15.75">
      <c r="A3549" t="str">
        <f t="shared" si="55"/>
        <v>GillyPACECS</v>
      </c>
      <c r="C3549" s="148" t="s">
        <v>468</v>
      </c>
      <c r="D3549" s="148" t="s">
        <v>69</v>
      </c>
      <c r="E3549" s="148">
        <v>14818.541310549999</v>
      </c>
      <c r="F3549" s="148" t="s">
        <v>37</v>
      </c>
    </row>
    <row r="3550" spans="1:6" ht="15.75">
      <c r="A3550" t="str">
        <f t="shared" si="55"/>
        <v>GillySolaireECS</v>
      </c>
      <c r="C3550" s="148" t="s">
        <v>468</v>
      </c>
      <c r="D3550" s="148" t="s">
        <v>240</v>
      </c>
      <c r="E3550" s="148">
        <v>311025.26000000007</v>
      </c>
      <c r="F3550" s="148" t="s">
        <v>37</v>
      </c>
    </row>
    <row r="3551" spans="1:6" ht="15.75">
      <c r="A3551" t="str">
        <f t="shared" si="55"/>
        <v>GimelBoisECS</v>
      </c>
      <c r="C3551" s="148" t="s">
        <v>469</v>
      </c>
      <c r="D3551" s="148" t="s">
        <v>66</v>
      </c>
      <c r="E3551" s="148">
        <v>308131.37254904001</v>
      </c>
      <c r="F3551" s="148" t="s">
        <v>37</v>
      </c>
    </row>
    <row r="3552" spans="1:6" ht="15.75">
      <c r="A3552" t="str">
        <f t="shared" si="55"/>
        <v>GimelCADECS</v>
      </c>
      <c r="C3552" s="148" t="s">
        <v>469</v>
      </c>
      <c r="D3552" s="148" t="s">
        <v>242</v>
      </c>
      <c r="E3552" s="148">
        <v>25159.4</v>
      </c>
      <c r="F3552" s="148" t="s">
        <v>37</v>
      </c>
    </row>
    <row r="3553" spans="1:6" ht="15.75">
      <c r="A3553" t="str">
        <f t="shared" si="55"/>
        <v>GimelElectricitéECS</v>
      </c>
      <c r="C3553" s="148" t="s">
        <v>469</v>
      </c>
      <c r="D3553" s="148" t="s">
        <v>97</v>
      </c>
      <c r="E3553" s="148">
        <v>559215.37777779985</v>
      </c>
      <c r="F3553" s="148" t="s">
        <v>37</v>
      </c>
    </row>
    <row r="3554" spans="1:6" ht="15.75">
      <c r="A3554" t="str">
        <f t="shared" si="55"/>
        <v>GimelGazECS</v>
      </c>
      <c r="C3554" s="148" t="s">
        <v>469</v>
      </c>
      <c r="D3554" s="148" t="s">
        <v>239</v>
      </c>
      <c r="E3554" s="148">
        <v>700402.63427111995</v>
      </c>
      <c r="F3554" s="148" t="s">
        <v>37</v>
      </c>
    </row>
    <row r="3555" spans="1:6" ht="15.75">
      <c r="A3555" t="str">
        <f t="shared" si="55"/>
        <v>GimelMazoutECS</v>
      </c>
      <c r="C3555" s="148" t="s">
        <v>469</v>
      </c>
      <c r="D3555" s="148" t="s">
        <v>70</v>
      </c>
      <c r="E3555" s="148">
        <v>1208286.3371309205</v>
      </c>
      <c r="F3555" s="148" t="s">
        <v>37</v>
      </c>
    </row>
    <row r="3556" spans="1:6" ht="15.75">
      <c r="A3556" t="str">
        <f t="shared" si="55"/>
        <v>GimelNon renseignéECS</v>
      </c>
      <c r="C3556" s="148" t="s">
        <v>469</v>
      </c>
      <c r="D3556" s="148" t="s">
        <v>696</v>
      </c>
      <c r="E3556" s="148">
        <v>0</v>
      </c>
      <c r="F3556" s="148" t="s">
        <v>37</v>
      </c>
    </row>
    <row r="3557" spans="1:6" ht="15.75">
      <c r="A3557" t="str">
        <f t="shared" si="55"/>
        <v>GimelPACECS</v>
      </c>
      <c r="C3557" s="148" t="s">
        <v>469</v>
      </c>
      <c r="D3557" s="148" t="s">
        <v>69</v>
      </c>
      <c r="E3557" s="148">
        <v>29497.219620969994</v>
      </c>
      <c r="F3557" s="148" t="s">
        <v>37</v>
      </c>
    </row>
    <row r="3558" spans="1:6" ht="15.75">
      <c r="A3558" t="str">
        <f t="shared" si="55"/>
        <v>GimelSolaireECS</v>
      </c>
      <c r="C3558" s="148" t="s">
        <v>469</v>
      </c>
      <c r="D3558" s="148" t="s">
        <v>240</v>
      </c>
      <c r="E3558" s="148">
        <v>206513.01999999996</v>
      </c>
      <c r="F3558" s="148" t="s">
        <v>37</v>
      </c>
    </row>
    <row r="3559" spans="1:6" ht="15.75">
      <c r="A3559" t="str">
        <f t="shared" si="55"/>
        <v>GinginsBoisECS</v>
      </c>
      <c r="C3559" s="148" t="s">
        <v>470</v>
      </c>
      <c r="D3559" s="148" t="s">
        <v>66</v>
      </c>
      <c r="E3559" s="148">
        <v>265301.42745095998</v>
      </c>
      <c r="F3559" s="148" t="s">
        <v>37</v>
      </c>
    </row>
    <row r="3560" spans="1:6" ht="15.75">
      <c r="A3560" t="str">
        <f t="shared" si="55"/>
        <v>GinginsCADECS</v>
      </c>
      <c r="C3560" s="148" t="s">
        <v>470</v>
      </c>
      <c r="D3560" s="148" t="s">
        <v>242</v>
      </c>
      <c r="E3560" s="148">
        <v>7840</v>
      </c>
      <c r="F3560" s="148" t="s">
        <v>37</v>
      </c>
    </row>
    <row r="3561" spans="1:6" ht="15.75">
      <c r="A3561" t="str">
        <f t="shared" si="55"/>
        <v>GinginsElectricitéECS</v>
      </c>
      <c r="C3561" s="148" t="s">
        <v>470</v>
      </c>
      <c r="D3561" s="148" t="s">
        <v>97</v>
      </c>
      <c r="E3561" s="148">
        <v>621693.33333335025</v>
      </c>
      <c r="F3561" s="148" t="s">
        <v>37</v>
      </c>
    </row>
    <row r="3562" spans="1:6" ht="15.75">
      <c r="A3562" t="str">
        <f t="shared" si="55"/>
        <v>GinginsGazECS</v>
      </c>
      <c r="C3562" s="148" t="s">
        <v>470</v>
      </c>
      <c r="D3562" s="148" t="s">
        <v>239</v>
      </c>
      <c r="E3562" s="148">
        <v>19247.529411749998</v>
      </c>
      <c r="F3562" s="148" t="s">
        <v>37</v>
      </c>
    </row>
    <row r="3563" spans="1:6" ht="15.75">
      <c r="A3563" t="str">
        <f t="shared" si="55"/>
        <v>GinginsMazoutECS</v>
      </c>
      <c r="C3563" s="148" t="s">
        <v>470</v>
      </c>
      <c r="D3563" s="148" t="s">
        <v>70</v>
      </c>
      <c r="E3563" s="148">
        <v>881701.88235295983</v>
      </c>
      <c r="F3563" s="148" t="s">
        <v>37</v>
      </c>
    </row>
    <row r="3564" spans="1:6" ht="15.75">
      <c r="A3564" t="str">
        <f t="shared" si="55"/>
        <v>GinginsNon renseignéECS</v>
      </c>
      <c r="C3564" s="148" t="s">
        <v>470</v>
      </c>
      <c r="D3564" s="148" t="s">
        <v>696</v>
      </c>
      <c r="E3564" s="148">
        <v>0</v>
      </c>
      <c r="F3564" s="148" t="s">
        <v>37</v>
      </c>
    </row>
    <row r="3565" spans="1:6" ht="15.75">
      <c r="A3565" t="str">
        <f t="shared" si="55"/>
        <v>GinginsPACECS</v>
      </c>
      <c r="C3565" s="148" t="s">
        <v>470</v>
      </c>
      <c r="D3565" s="148" t="s">
        <v>69</v>
      </c>
      <c r="E3565" s="148">
        <v>44924.594017119998</v>
      </c>
      <c r="F3565" s="148" t="s">
        <v>37</v>
      </c>
    </row>
    <row r="3566" spans="1:6" ht="15.75">
      <c r="A3566" t="str">
        <f t="shared" si="55"/>
        <v>GinginsSolaireECS</v>
      </c>
      <c r="C3566" s="148" t="s">
        <v>470</v>
      </c>
      <c r="D3566" s="148" t="s">
        <v>240</v>
      </c>
      <c r="E3566" s="148">
        <v>59570</v>
      </c>
      <c r="F3566" s="148" t="s">
        <v>37</v>
      </c>
    </row>
    <row r="3567" spans="1:6" ht="15.75">
      <c r="A3567" t="str">
        <f t="shared" si="55"/>
        <v>GinginsAutre agent énergétiqueECS</v>
      </c>
      <c r="C3567" s="148" t="s">
        <v>470</v>
      </c>
      <c r="D3567" s="148" t="s">
        <v>245</v>
      </c>
      <c r="E3567" s="148">
        <v>3399.5294117600001</v>
      </c>
      <c r="F3567" s="148" t="s">
        <v>37</v>
      </c>
    </row>
    <row r="3568" spans="1:6" ht="15.75">
      <c r="A3568" t="str">
        <f t="shared" si="55"/>
        <v>GivrinsAutre agent énergétiqueECS</v>
      </c>
      <c r="C3568" s="148" t="s">
        <v>471</v>
      </c>
      <c r="D3568" s="148" t="s">
        <v>245</v>
      </c>
      <c r="E3568" s="148" t="e">
        <v>#N/A</v>
      </c>
      <c r="F3568" s="148" t="s">
        <v>37</v>
      </c>
    </row>
    <row r="3569" spans="1:6" ht="15.75">
      <c r="A3569" t="str">
        <f t="shared" si="55"/>
        <v>GivrinsBoisECS</v>
      </c>
      <c r="C3569" s="148" t="s">
        <v>471</v>
      </c>
      <c r="D3569" s="148" t="s">
        <v>66</v>
      </c>
      <c r="E3569" s="148">
        <v>131488.52705884</v>
      </c>
      <c r="F3569" s="148" t="s">
        <v>37</v>
      </c>
    </row>
    <row r="3570" spans="1:6" ht="15.75">
      <c r="A3570" t="str">
        <f t="shared" si="55"/>
        <v>GivrinsCADECS</v>
      </c>
      <c r="C3570" s="148" t="s">
        <v>471</v>
      </c>
      <c r="D3570" s="148" t="s">
        <v>242</v>
      </c>
      <c r="E3570" s="148">
        <v>74533.2</v>
      </c>
      <c r="F3570" s="148" t="s">
        <v>37</v>
      </c>
    </row>
    <row r="3571" spans="1:6" ht="15.75">
      <c r="A3571" t="str">
        <f t="shared" si="55"/>
        <v>GivrinsElectricitéECS</v>
      </c>
      <c r="C3571" s="148" t="s">
        <v>471</v>
      </c>
      <c r="D3571" s="148" t="s">
        <v>97</v>
      </c>
      <c r="E3571" s="148">
        <v>368868.88888883998</v>
      </c>
      <c r="F3571" s="148" t="s">
        <v>37</v>
      </c>
    </row>
    <row r="3572" spans="1:6" ht="15.75">
      <c r="A3572" t="str">
        <f t="shared" si="55"/>
        <v>GivrinsGazECS</v>
      </c>
      <c r="C3572" s="148" t="s">
        <v>471</v>
      </c>
      <c r="D3572" s="148" t="s">
        <v>239</v>
      </c>
      <c r="E3572" s="148">
        <v>8900.705882350001</v>
      </c>
      <c r="F3572" s="148" t="s">
        <v>37</v>
      </c>
    </row>
    <row r="3573" spans="1:6" ht="15.75">
      <c r="A3573" t="str">
        <f t="shared" si="55"/>
        <v>GivrinsMazoutECS</v>
      </c>
      <c r="C3573" s="148" t="s">
        <v>471</v>
      </c>
      <c r="D3573" s="148" t="s">
        <v>70</v>
      </c>
      <c r="E3573" s="148">
        <v>769234.4470588899</v>
      </c>
      <c r="F3573" s="148" t="s">
        <v>37</v>
      </c>
    </row>
    <row r="3574" spans="1:6" ht="15.75">
      <c r="A3574" t="str">
        <f t="shared" si="55"/>
        <v>GivrinsNon renseignéECS</v>
      </c>
      <c r="C3574" s="148" t="s">
        <v>471</v>
      </c>
      <c r="D3574" s="148" t="s">
        <v>696</v>
      </c>
      <c r="E3574" s="148">
        <v>0</v>
      </c>
      <c r="F3574" s="148" t="s">
        <v>37</v>
      </c>
    </row>
    <row r="3575" spans="1:6" ht="15.75">
      <c r="A3575" t="str">
        <f t="shared" si="55"/>
        <v>GivrinsPACECS</v>
      </c>
      <c r="C3575" s="148" t="s">
        <v>471</v>
      </c>
      <c r="D3575" s="148" t="s">
        <v>69</v>
      </c>
      <c r="E3575" s="148">
        <v>51174.045831799987</v>
      </c>
      <c r="F3575" s="148" t="s">
        <v>37</v>
      </c>
    </row>
    <row r="3576" spans="1:6" ht="15.75">
      <c r="A3576" t="str">
        <f t="shared" si="55"/>
        <v>GivrinsSolaireECS</v>
      </c>
      <c r="C3576" s="148" t="s">
        <v>471</v>
      </c>
      <c r="D3576" s="148" t="s">
        <v>240</v>
      </c>
      <c r="E3576" s="148">
        <v>108354.4</v>
      </c>
      <c r="F3576" s="148" t="s">
        <v>37</v>
      </c>
    </row>
    <row r="3577" spans="1:6" ht="15.75">
      <c r="A3577" t="str">
        <f t="shared" si="55"/>
        <v>GlandAutre agent énergétiqueECS</v>
      </c>
      <c r="C3577" s="148" t="s">
        <v>472</v>
      </c>
      <c r="D3577" s="148" t="s">
        <v>245</v>
      </c>
      <c r="E3577" s="148">
        <v>230619.52941175998</v>
      </c>
      <c r="F3577" s="148" t="s">
        <v>37</v>
      </c>
    </row>
    <row r="3578" spans="1:6" ht="15.75">
      <c r="A3578" t="str">
        <f t="shared" si="55"/>
        <v>GlandBoisECS</v>
      </c>
      <c r="C3578" s="148" t="s">
        <v>472</v>
      </c>
      <c r="D3578" s="148" t="s">
        <v>66</v>
      </c>
      <c r="E3578" s="148">
        <v>1146094.30901956</v>
      </c>
      <c r="F3578" s="148" t="s">
        <v>37</v>
      </c>
    </row>
    <row r="3579" spans="1:6" ht="15.75">
      <c r="A3579" t="str">
        <f t="shared" si="55"/>
        <v>GlandCADECS</v>
      </c>
      <c r="C3579" s="148" t="s">
        <v>472</v>
      </c>
      <c r="D3579" s="148" t="s">
        <v>242</v>
      </c>
      <c r="E3579" s="148">
        <v>633775.80000000005</v>
      </c>
      <c r="F3579" s="148" t="s">
        <v>37</v>
      </c>
    </row>
    <row r="3580" spans="1:6" ht="15.75">
      <c r="A3580" t="str">
        <f t="shared" si="55"/>
        <v>GlandElectricitéECS</v>
      </c>
      <c r="C3580" s="148" t="s">
        <v>472</v>
      </c>
      <c r="D3580" s="148" t="s">
        <v>97</v>
      </c>
      <c r="E3580" s="148">
        <v>1066128.9333333501</v>
      </c>
      <c r="F3580" s="148" t="s">
        <v>37</v>
      </c>
    </row>
    <row r="3581" spans="1:6" ht="15.75">
      <c r="A3581" t="str">
        <f t="shared" si="55"/>
        <v>GlandGazECS</v>
      </c>
      <c r="C3581" s="148" t="s">
        <v>472</v>
      </c>
      <c r="D3581" s="148" t="s">
        <v>239</v>
      </c>
      <c r="E3581" s="148">
        <v>7301348.648337651</v>
      </c>
      <c r="F3581" s="148" t="s">
        <v>37</v>
      </c>
    </row>
    <row r="3582" spans="1:6" ht="15.75">
      <c r="A3582" t="str">
        <f t="shared" si="55"/>
        <v>GlandMazoutECS</v>
      </c>
      <c r="C3582" s="148" t="s">
        <v>472</v>
      </c>
      <c r="D3582" s="148" t="s">
        <v>70</v>
      </c>
      <c r="E3582" s="148">
        <v>5358155.435294155</v>
      </c>
      <c r="F3582" s="148" t="s">
        <v>37</v>
      </c>
    </row>
    <row r="3583" spans="1:6" ht="15.75">
      <c r="A3583" t="str">
        <f t="shared" si="55"/>
        <v>GlandNon renseignéECS</v>
      </c>
      <c r="C3583" s="148" t="s">
        <v>472</v>
      </c>
      <c r="D3583" s="148" t="s">
        <v>696</v>
      </c>
      <c r="E3583" s="148">
        <v>0</v>
      </c>
      <c r="F3583" s="148" t="s">
        <v>37</v>
      </c>
    </row>
    <row r="3584" spans="1:6" ht="15.75">
      <c r="A3584" t="str">
        <f t="shared" si="55"/>
        <v>GlandPACECS</v>
      </c>
      <c r="C3584" s="148" t="s">
        <v>472</v>
      </c>
      <c r="D3584" s="148" t="s">
        <v>69</v>
      </c>
      <c r="E3584" s="148">
        <v>191836.63272634003</v>
      </c>
      <c r="F3584" s="148" t="s">
        <v>37</v>
      </c>
    </row>
    <row r="3585" spans="1:6" ht="15.75">
      <c r="A3585" t="str">
        <f t="shared" si="55"/>
        <v>GlandCharbonECS</v>
      </c>
      <c r="C3585" s="148" t="s">
        <v>472</v>
      </c>
      <c r="D3585" s="148" t="s">
        <v>695</v>
      </c>
      <c r="E3585" s="148" t="e">
        <v>#N/A</v>
      </c>
      <c r="F3585" s="148" t="s">
        <v>37</v>
      </c>
    </row>
    <row r="3586" spans="1:6" ht="15.75">
      <c r="A3586" t="str">
        <f t="shared" si="55"/>
        <v>GlandSolaireECS</v>
      </c>
      <c r="C3586" s="148" t="s">
        <v>472</v>
      </c>
      <c r="D3586" s="148" t="s">
        <v>240</v>
      </c>
      <c r="E3586" s="148">
        <v>615500.19999999995</v>
      </c>
      <c r="F3586" s="148" t="s">
        <v>37</v>
      </c>
    </row>
    <row r="3587" spans="1:6" ht="15.75">
      <c r="A3587" t="str">
        <f t="shared" si="55"/>
        <v>GollionBoisECS</v>
      </c>
      <c r="C3587" s="148" t="s">
        <v>473</v>
      </c>
      <c r="D3587" s="148" t="s">
        <v>66</v>
      </c>
      <c r="E3587" s="148">
        <v>65676.865882350001</v>
      </c>
      <c r="F3587" s="148" t="s">
        <v>37</v>
      </c>
    </row>
    <row r="3588" spans="1:6" ht="15.75">
      <c r="A3588" t="str">
        <f t="shared" si="55"/>
        <v>GollionCADECS</v>
      </c>
      <c r="C3588" s="148" t="s">
        <v>473</v>
      </c>
      <c r="D3588" s="148" t="s">
        <v>242</v>
      </c>
      <c r="E3588" s="148">
        <v>60753</v>
      </c>
      <c r="F3588" s="148" t="s">
        <v>37</v>
      </c>
    </row>
    <row r="3589" spans="1:6" ht="15.75">
      <c r="A3589" t="str">
        <f t="shared" si="55"/>
        <v>GollionElectricitéECS</v>
      </c>
      <c r="C3589" s="148" t="s">
        <v>473</v>
      </c>
      <c r="D3589" s="148" t="s">
        <v>97</v>
      </c>
      <c r="E3589" s="148">
        <v>329647.11111108999</v>
      </c>
      <c r="F3589" s="148" t="s">
        <v>37</v>
      </c>
    </row>
    <row r="3590" spans="1:6" ht="15.75">
      <c r="A3590" t="str">
        <f t="shared" si="55"/>
        <v>GollionGazECS</v>
      </c>
      <c r="C3590" s="148" t="s">
        <v>473</v>
      </c>
      <c r="D3590" s="148" t="s">
        <v>239</v>
      </c>
      <c r="E3590" s="148">
        <v>467059.89002554986</v>
      </c>
      <c r="F3590" s="148" t="s">
        <v>37</v>
      </c>
    </row>
    <row r="3591" spans="1:6" ht="15.75">
      <c r="A3591" t="str">
        <f t="shared" si="55"/>
        <v>GollionMazoutECS</v>
      </c>
      <c r="C3591" s="148" t="s">
        <v>473</v>
      </c>
      <c r="D3591" s="148" t="s">
        <v>70</v>
      </c>
      <c r="E3591" s="148">
        <v>282115.15294117999</v>
      </c>
      <c r="F3591" s="148" t="s">
        <v>37</v>
      </c>
    </row>
    <row r="3592" spans="1:6" ht="15.75">
      <c r="A3592" t="str">
        <f t="shared" si="55"/>
        <v>GollionNon renseignéECS</v>
      </c>
      <c r="C3592" s="148" t="s">
        <v>473</v>
      </c>
      <c r="D3592" s="148" t="s">
        <v>696</v>
      </c>
      <c r="E3592" s="148">
        <v>0</v>
      </c>
      <c r="F3592" s="148" t="s">
        <v>37</v>
      </c>
    </row>
    <row r="3593" spans="1:6" ht="15.75">
      <c r="A3593" t="str">
        <f t="shared" si="55"/>
        <v>GollionPACECS</v>
      </c>
      <c r="C3593" s="148" t="s">
        <v>473</v>
      </c>
      <c r="D3593" s="148" t="s">
        <v>69</v>
      </c>
      <c r="E3593" s="148">
        <v>17110.692307690002</v>
      </c>
      <c r="F3593" s="148" t="s">
        <v>37</v>
      </c>
    </row>
    <row r="3594" spans="1:6" ht="15.75">
      <c r="A3594" t="str">
        <f t="shared" si="55"/>
        <v>GollionSolaireECS</v>
      </c>
      <c r="C3594" s="148" t="s">
        <v>473</v>
      </c>
      <c r="D3594" s="148" t="s">
        <v>240</v>
      </c>
      <c r="E3594" s="148">
        <v>104481.02</v>
      </c>
      <c r="F3594" s="148" t="s">
        <v>37</v>
      </c>
    </row>
    <row r="3595" spans="1:6" ht="15.75">
      <c r="A3595" t="str">
        <f t="shared" ref="A3595:A3666" si="56">_xlfn.CONCAT(C3595,D3595,F3595)</f>
        <v>GoumoënsBoisECS</v>
      </c>
      <c r="C3595" s="148" t="s">
        <v>640</v>
      </c>
      <c r="D3595" s="148" t="s">
        <v>66</v>
      </c>
      <c r="E3595" s="148">
        <v>257831.76313723999</v>
      </c>
      <c r="F3595" s="148" t="s">
        <v>37</v>
      </c>
    </row>
    <row r="3596" spans="1:6" ht="15.75">
      <c r="A3596" t="str">
        <f t="shared" si="56"/>
        <v>GoumoënsCADECS</v>
      </c>
      <c r="C3596" s="148" t="s">
        <v>640</v>
      </c>
      <c r="D3596" s="148" t="s">
        <v>242</v>
      </c>
      <c r="E3596" s="148">
        <v>7324.8000000000011</v>
      </c>
      <c r="F3596" s="148" t="s">
        <v>37</v>
      </c>
    </row>
    <row r="3597" spans="1:6" ht="15.75">
      <c r="A3597" t="str">
        <f t="shared" si="56"/>
        <v>GoumoënsElectricitéECS</v>
      </c>
      <c r="C3597" s="148" t="s">
        <v>640</v>
      </c>
      <c r="D3597" s="148" t="s">
        <v>97</v>
      </c>
      <c r="E3597" s="148">
        <v>261187.11111114002</v>
      </c>
      <c r="F3597" s="148" t="s">
        <v>37</v>
      </c>
    </row>
    <row r="3598" spans="1:6" ht="15.75">
      <c r="A3598" t="str">
        <f t="shared" si="56"/>
        <v>GoumoënsGazECS</v>
      </c>
      <c r="C3598" s="148" t="s">
        <v>640</v>
      </c>
      <c r="D3598" s="148" t="s">
        <v>239</v>
      </c>
      <c r="E3598" s="148">
        <v>420726.75038359989</v>
      </c>
      <c r="F3598" s="148" t="s">
        <v>37</v>
      </c>
    </row>
    <row r="3599" spans="1:6" ht="15.75">
      <c r="A3599" t="str">
        <f t="shared" si="56"/>
        <v>GoumoënsMazoutECS</v>
      </c>
      <c r="C3599" s="148" t="s">
        <v>640</v>
      </c>
      <c r="D3599" s="148" t="s">
        <v>70</v>
      </c>
      <c r="E3599" s="148">
        <v>818407.88235291012</v>
      </c>
      <c r="F3599" s="148" t="s">
        <v>37</v>
      </c>
    </row>
    <row r="3600" spans="1:6" ht="15.75">
      <c r="A3600" t="str">
        <f t="shared" si="56"/>
        <v>GoumoënsNon renseignéECS</v>
      </c>
      <c r="C3600" s="148" t="s">
        <v>640</v>
      </c>
      <c r="D3600" s="148" t="s">
        <v>696</v>
      </c>
      <c r="E3600" s="148">
        <v>0</v>
      </c>
      <c r="F3600" s="148" t="s">
        <v>37</v>
      </c>
    </row>
    <row r="3601" spans="1:6" ht="15.75">
      <c r="A3601" t="str">
        <f t="shared" si="56"/>
        <v>GoumoënsPACECS</v>
      </c>
      <c r="C3601" s="148" t="s">
        <v>640</v>
      </c>
      <c r="D3601" s="148" t="s">
        <v>69</v>
      </c>
      <c r="E3601" s="148">
        <v>13870.382509599998</v>
      </c>
      <c r="F3601" s="148" t="s">
        <v>37</v>
      </c>
    </row>
    <row r="3602" spans="1:6" ht="15.75">
      <c r="A3602" t="str">
        <f t="shared" si="56"/>
        <v>GoumoënsSolaireECS</v>
      </c>
      <c r="C3602" s="148" t="s">
        <v>640</v>
      </c>
      <c r="D3602" s="148" t="s">
        <v>240</v>
      </c>
      <c r="E3602" s="148">
        <v>238071.67999999999</v>
      </c>
      <c r="F3602" s="148" t="s">
        <v>37</v>
      </c>
    </row>
    <row r="3603" spans="1:6" ht="15.75">
      <c r="A3603" t="str">
        <f t="shared" si="56"/>
        <v>GrancyBoisECS</v>
      </c>
      <c r="C3603" s="148" t="s">
        <v>474</v>
      </c>
      <c r="D3603" s="148" t="s">
        <v>66</v>
      </c>
      <c r="E3603" s="148">
        <v>98336</v>
      </c>
      <c r="F3603" s="148" t="s">
        <v>37</v>
      </c>
    </row>
    <row r="3604" spans="1:6" ht="15.75">
      <c r="A3604" t="str">
        <f t="shared" si="56"/>
        <v>GrancyElectricitéECS</v>
      </c>
      <c r="C3604" s="148" t="s">
        <v>474</v>
      </c>
      <c r="D3604" s="148" t="s">
        <v>97</v>
      </c>
      <c r="E3604" s="148">
        <v>171129.46666665003</v>
      </c>
      <c r="F3604" s="148" t="s">
        <v>37</v>
      </c>
    </row>
    <row r="3605" spans="1:6" ht="15.75">
      <c r="A3605" t="str">
        <f t="shared" si="56"/>
        <v>GrancyGazECS</v>
      </c>
      <c r="C3605" s="148" t="s">
        <v>474</v>
      </c>
      <c r="D3605" s="148" t="s">
        <v>239</v>
      </c>
      <c r="E3605" s="148">
        <v>169890.82352943002</v>
      </c>
      <c r="F3605" s="148" t="s">
        <v>37</v>
      </c>
    </row>
    <row r="3606" spans="1:6" ht="15.75">
      <c r="A3606" t="str">
        <f t="shared" si="56"/>
        <v>GrancyMazoutECS</v>
      </c>
      <c r="C3606" s="148" t="s">
        <v>474</v>
      </c>
      <c r="D3606" s="148" t="s">
        <v>70</v>
      </c>
      <c r="E3606" s="148">
        <v>264202.72941173997</v>
      </c>
      <c r="F3606" s="148" t="s">
        <v>37</v>
      </c>
    </row>
    <row r="3607" spans="1:6" ht="15.75">
      <c r="A3607" t="str">
        <f t="shared" si="56"/>
        <v>GrancyNon renseignéECS</v>
      </c>
      <c r="C3607" s="148" t="s">
        <v>474</v>
      </c>
      <c r="D3607" s="148" t="s">
        <v>696</v>
      </c>
      <c r="E3607" s="148">
        <v>0</v>
      </c>
      <c r="F3607" s="148" t="s">
        <v>37</v>
      </c>
    </row>
    <row r="3608" spans="1:6" ht="15.75">
      <c r="A3608" t="str">
        <f t="shared" si="56"/>
        <v>GrancyPACECS</v>
      </c>
      <c r="C3608" s="148" t="s">
        <v>474</v>
      </c>
      <c r="D3608" s="148" t="s">
        <v>69</v>
      </c>
      <c r="E3608" s="148">
        <v>4707.7692307699999</v>
      </c>
      <c r="F3608" s="148" t="s">
        <v>37</v>
      </c>
    </row>
    <row r="3609" spans="1:6" ht="15.75">
      <c r="A3609" t="str">
        <f t="shared" si="56"/>
        <v>GrancySolaireECS</v>
      </c>
      <c r="C3609" s="148" t="s">
        <v>474</v>
      </c>
      <c r="D3609" s="148" t="s">
        <v>240</v>
      </c>
      <c r="E3609" s="148">
        <v>40102.299999999996</v>
      </c>
      <c r="F3609" s="148" t="s">
        <v>37</v>
      </c>
    </row>
    <row r="3610" spans="1:6" ht="15.75">
      <c r="A3610" t="str">
        <f t="shared" si="56"/>
        <v>GrandcourAutre agent énergétiqueECS</v>
      </c>
      <c r="C3610" s="148" t="s">
        <v>475</v>
      </c>
      <c r="D3610" s="148" t="s">
        <v>245</v>
      </c>
      <c r="E3610" s="148">
        <v>3894.9647058800001</v>
      </c>
      <c r="F3610" s="148" t="s">
        <v>37</v>
      </c>
    </row>
    <row r="3611" spans="1:6" ht="15.75">
      <c r="A3611" t="str">
        <f t="shared" si="56"/>
        <v>GrandcourBoisECS</v>
      </c>
      <c r="C3611" s="148" t="s">
        <v>475</v>
      </c>
      <c r="D3611" s="148" t="s">
        <v>66</v>
      </c>
      <c r="E3611" s="148">
        <v>61392.800000000003</v>
      </c>
      <c r="F3611" s="148" t="s">
        <v>37</v>
      </c>
    </row>
    <row r="3612" spans="1:6" ht="15.75">
      <c r="A3612" t="str">
        <f t="shared" si="56"/>
        <v>GrandcourElectricitéECS</v>
      </c>
      <c r="C3612" s="148" t="s">
        <v>475</v>
      </c>
      <c r="D3612" s="148" t="s">
        <v>97</v>
      </c>
      <c r="E3612" s="148">
        <v>445220.84444442001</v>
      </c>
      <c r="F3612" s="148" t="s">
        <v>37</v>
      </c>
    </row>
    <row r="3613" spans="1:6" ht="15.75">
      <c r="A3613" t="str">
        <f t="shared" si="56"/>
        <v>GrandcourGazECS</v>
      </c>
      <c r="C3613" s="148" t="s">
        <v>475</v>
      </c>
      <c r="D3613" s="148" t="s">
        <v>239</v>
      </c>
      <c r="E3613" s="148">
        <v>4645.78005115</v>
      </c>
      <c r="F3613" s="148" t="s">
        <v>37</v>
      </c>
    </row>
    <row r="3614" spans="1:6" ht="15.75">
      <c r="A3614" t="str">
        <f t="shared" si="56"/>
        <v>GrandcourMazoutECS</v>
      </c>
      <c r="C3614" s="148" t="s">
        <v>475</v>
      </c>
      <c r="D3614" s="148" t="s">
        <v>70</v>
      </c>
      <c r="E3614" s="148">
        <v>955042.56684491993</v>
      </c>
      <c r="F3614" s="148" t="s">
        <v>37</v>
      </c>
    </row>
    <row r="3615" spans="1:6" ht="15.75">
      <c r="A3615" t="str">
        <f t="shared" si="56"/>
        <v>GrandcourNon renseignéECS</v>
      </c>
      <c r="C3615" s="148" t="s">
        <v>475</v>
      </c>
      <c r="D3615" s="148" t="s">
        <v>696</v>
      </c>
      <c r="E3615" s="148">
        <v>0</v>
      </c>
      <c r="F3615" s="148" t="s">
        <v>37</v>
      </c>
    </row>
    <row r="3616" spans="1:6" ht="15.75">
      <c r="A3616" t="str">
        <f t="shared" si="56"/>
        <v>GrandcourPACECS</v>
      </c>
      <c r="C3616" s="148" t="s">
        <v>475</v>
      </c>
      <c r="D3616" s="148" t="s">
        <v>69</v>
      </c>
      <c r="E3616" s="148">
        <v>48447.298971870005</v>
      </c>
      <c r="F3616" s="148" t="s">
        <v>37</v>
      </c>
    </row>
    <row r="3617" spans="1:6" ht="15.75">
      <c r="A3617" t="str">
        <f t="shared" si="56"/>
        <v>GrandcourSolaireECS</v>
      </c>
      <c r="C3617" s="148" t="s">
        <v>475</v>
      </c>
      <c r="D3617" s="148" t="s">
        <v>240</v>
      </c>
      <c r="E3617" s="148">
        <v>117300.39999999998</v>
      </c>
      <c r="F3617" s="148" t="s">
        <v>37</v>
      </c>
    </row>
    <row r="3618" spans="1:6" ht="15.75">
      <c r="A3618" t="str">
        <f t="shared" si="56"/>
        <v>GrandeventBoisECS</v>
      </c>
      <c r="C3618" s="148" t="s">
        <v>476</v>
      </c>
      <c r="D3618" s="148" t="s">
        <v>66</v>
      </c>
      <c r="E3618" s="148">
        <v>50563.498039209997</v>
      </c>
      <c r="F3618" s="148" t="s">
        <v>37</v>
      </c>
    </row>
    <row r="3619" spans="1:6" ht="15.75">
      <c r="A3619" t="str">
        <f t="shared" si="56"/>
        <v>GrandeventElectricitéECS</v>
      </c>
      <c r="C3619" s="148" t="s">
        <v>476</v>
      </c>
      <c r="D3619" s="148" t="s">
        <v>97</v>
      </c>
      <c r="E3619" s="148">
        <v>162222.66666667</v>
      </c>
      <c r="F3619" s="148" t="s">
        <v>37</v>
      </c>
    </row>
    <row r="3620" spans="1:6" ht="15.75">
      <c r="A3620" t="str">
        <f t="shared" si="56"/>
        <v>GrandeventGazECS</v>
      </c>
      <c r="C3620" s="148" t="s">
        <v>476</v>
      </c>
      <c r="D3620" s="148" t="s">
        <v>239</v>
      </c>
      <c r="E3620" s="148">
        <v>8175.4271099699999</v>
      </c>
      <c r="F3620" s="148" t="s">
        <v>37</v>
      </c>
    </row>
    <row r="3621" spans="1:6" ht="15.75">
      <c r="A3621" t="str">
        <f t="shared" si="56"/>
        <v>GrandeventMazoutECS</v>
      </c>
      <c r="C3621" s="148" t="s">
        <v>476</v>
      </c>
      <c r="D3621" s="148" t="s">
        <v>70</v>
      </c>
      <c r="E3621" s="148">
        <v>131290.35294117001</v>
      </c>
      <c r="F3621" s="148" t="s">
        <v>37</v>
      </c>
    </row>
    <row r="3622" spans="1:6" ht="15.75">
      <c r="A3622" t="str">
        <f t="shared" si="56"/>
        <v>GrandeventNon renseignéECS</v>
      </c>
      <c r="C3622" s="148" t="s">
        <v>476</v>
      </c>
      <c r="D3622" s="148" t="s">
        <v>696</v>
      </c>
      <c r="E3622" s="148">
        <v>0</v>
      </c>
      <c r="F3622" s="148" t="s">
        <v>37</v>
      </c>
    </row>
    <row r="3623" spans="1:6" ht="15.75">
      <c r="A3623" t="str">
        <f t="shared" si="56"/>
        <v>GrandeventPACECS</v>
      </c>
      <c r="C3623" s="148" t="s">
        <v>476</v>
      </c>
      <c r="D3623" s="148" t="s">
        <v>69</v>
      </c>
      <c r="E3623" s="148">
        <v>6891.2463768199996</v>
      </c>
      <c r="F3623" s="148" t="s">
        <v>37</v>
      </c>
    </row>
    <row r="3624" spans="1:6" ht="15.75">
      <c r="A3624" t="str">
        <f t="shared" si="56"/>
        <v>GrandeventSolaireECS</v>
      </c>
      <c r="C3624" s="148" t="s">
        <v>476</v>
      </c>
      <c r="D3624" s="148" t="s">
        <v>240</v>
      </c>
      <c r="E3624" s="148">
        <v>21070</v>
      </c>
      <c r="F3624" s="148" t="s">
        <v>37</v>
      </c>
    </row>
    <row r="3625" spans="1:6" ht="15.75">
      <c r="A3625" t="str">
        <f t="shared" si="56"/>
        <v>GrandsonAutre agent énergétiqueECS</v>
      </c>
      <c r="C3625" s="148" t="s">
        <v>477</v>
      </c>
      <c r="D3625" s="148" t="s">
        <v>245</v>
      </c>
      <c r="E3625" s="148">
        <v>36243.529411759999</v>
      </c>
      <c r="F3625" s="148" t="s">
        <v>37</v>
      </c>
    </row>
    <row r="3626" spans="1:6" ht="15.75">
      <c r="A3626" t="str">
        <f t="shared" si="56"/>
        <v>GrandsonBoisECS</v>
      </c>
      <c r="C3626" s="148" t="s">
        <v>477</v>
      </c>
      <c r="D3626" s="148" t="s">
        <v>66</v>
      </c>
      <c r="E3626" s="148">
        <v>330022.49411764002</v>
      </c>
      <c r="F3626" s="148" t="s">
        <v>37</v>
      </c>
    </row>
    <row r="3627" spans="1:6" ht="15.75">
      <c r="A3627" t="str">
        <f t="shared" si="56"/>
        <v>GrandsonCADECS</v>
      </c>
      <c r="C3627" s="148" t="s">
        <v>477</v>
      </c>
      <c r="D3627" s="148" t="s">
        <v>242</v>
      </c>
      <c r="E3627" s="148">
        <v>2689.4</v>
      </c>
      <c r="F3627" s="148" t="s">
        <v>37</v>
      </c>
    </row>
    <row r="3628" spans="1:6" ht="15.75">
      <c r="A3628" t="str">
        <f t="shared" si="56"/>
        <v>GrandsonCharbonECS</v>
      </c>
      <c r="C3628" s="148" t="s">
        <v>477</v>
      </c>
      <c r="D3628" s="148" t="s">
        <v>695</v>
      </c>
      <c r="E3628" s="148" t="e">
        <v>#N/A</v>
      </c>
      <c r="F3628" s="148" t="s">
        <v>37</v>
      </c>
    </row>
    <row r="3629" spans="1:6" ht="15.75">
      <c r="A3629" t="str">
        <f t="shared" si="56"/>
        <v>GrandsonElectricitéECS</v>
      </c>
      <c r="C3629" s="148" t="s">
        <v>477</v>
      </c>
      <c r="D3629" s="148" t="s">
        <v>97</v>
      </c>
      <c r="E3629" s="148">
        <v>1188317.51111112</v>
      </c>
      <c r="F3629" s="148" t="s">
        <v>37</v>
      </c>
    </row>
    <row r="3630" spans="1:6" ht="15.75">
      <c r="A3630" t="str">
        <f t="shared" si="56"/>
        <v>GrandsonGazECS</v>
      </c>
      <c r="C3630" s="148" t="s">
        <v>477</v>
      </c>
      <c r="D3630" s="148" t="s">
        <v>239</v>
      </c>
      <c r="E3630" s="148">
        <v>1844007.4578006088</v>
      </c>
      <c r="F3630" s="148" t="s">
        <v>37</v>
      </c>
    </row>
    <row r="3631" spans="1:6" ht="15.75">
      <c r="A3631" t="str">
        <f t="shared" si="56"/>
        <v>GrandsonMazoutECS</v>
      </c>
      <c r="C3631" s="148" t="s">
        <v>477</v>
      </c>
      <c r="D3631" s="148" t="s">
        <v>70</v>
      </c>
      <c r="E3631" s="148">
        <v>1479165.8823529407</v>
      </c>
      <c r="F3631" s="148" t="s">
        <v>37</v>
      </c>
    </row>
    <row r="3632" spans="1:6" ht="15.75">
      <c r="A3632" t="str">
        <f t="shared" si="56"/>
        <v>GrandsonNon renseignéECS</v>
      </c>
      <c r="C3632" s="148" t="s">
        <v>477</v>
      </c>
      <c r="D3632" s="148" t="s">
        <v>696</v>
      </c>
      <c r="E3632" s="148">
        <v>0</v>
      </c>
      <c r="F3632" s="148" t="s">
        <v>37</v>
      </c>
    </row>
    <row r="3633" spans="1:6" ht="15.75">
      <c r="A3633" t="str">
        <f t="shared" si="56"/>
        <v>GrandsonPACECS</v>
      </c>
      <c r="C3633" s="148" t="s">
        <v>477</v>
      </c>
      <c r="D3633" s="148" t="s">
        <v>69</v>
      </c>
      <c r="E3633" s="148">
        <v>46724.399108140002</v>
      </c>
      <c r="F3633" s="148" t="s">
        <v>37</v>
      </c>
    </row>
    <row r="3634" spans="1:6" ht="15.75">
      <c r="A3634" t="str">
        <f t="shared" si="56"/>
        <v>GrandsonSolaireECS</v>
      </c>
      <c r="C3634" s="148" t="s">
        <v>477</v>
      </c>
      <c r="D3634" s="148" t="s">
        <v>240</v>
      </c>
      <c r="E3634" s="148">
        <v>180160.4</v>
      </c>
      <c r="F3634" s="148" t="s">
        <v>37</v>
      </c>
    </row>
    <row r="3635" spans="1:6" ht="15.75">
      <c r="A3635" t="str">
        <f t="shared" si="56"/>
        <v>GrensBoisECS</v>
      </c>
      <c r="C3635" s="148" t="s">
        <v>478</v>
      </c>
      <c r="D3635" s="148" t="s">
        <v>66</v>
      </c>
      <c r="E3635" s="148">
        <v>18025.28</v>
      </c>
      <c r="F3635" s="148" t="s">
        <v>37</v>
      </c>
    </row>
    <row r="3636" spans="1:6" ht="15.75">
      <c r="A3636" t="str">
        <f t="shared" si="56"/>
        <v>GrensElectricitéECS</v>
      </c>
      <c r="C3636" s="148" t="s">
        <v>478</v>
      </c>
      <c r="D3636" s="148" t="s">
        <v>97</v>
      </c>
      <c r="E3636" s="148">
        <v>131018.22222222998</v>
      </c>
      <c r="F3636" s="148" t="s">
        <v>37</v>
      </c>
    </row>
    <row r="3637" spans="1:6" ht="15.75">
      <c r="A3637" t="str">
        <f t="shared" si="56"/>
        <v>GrensGazECS</v>
      </c>
      <c r="C3637" s="148" t="s">
        <v>478</v>
      </c>
      <c r="D3637" s="148" t="s">
        <v>239</v>
      </c>
      <c r="E3637" s="148">
        <v>27729.882352940003</v>
      </c>
      <c r="F3637" s="148" t="s">
        <v>37</v>
      </c>
    </row>
    <row r="3638" spans="1:6" ht="15.75">
      <c r="A3638" t="str">
        <f t="shared" si="56"/>
        <v>GrensMazoutECS</v>
      </c>
      <c r="C3638" s="148" t="s">
        <v>478</v>
      </c>
      <c r="D3638" s="148" t="s">
        <v>70</v>
      </c>
      <c r="E3638" s="148">
        <v>320606.58823530993</v>
      </c>
      <c r="F3638" s="148" t="s">
        <v>37</v>
      </c>
    </row>
    <row r="3639" spans="1:6" ht="15.75">
      <c r="A3639" t="str">
        <f t="shared" si="56"/>
        <v>GrensNon renseignéECS</v>
      </c>
      <c r="C3639" s="148" t="s">
        <v>478</v>
      </c>
      <c r="D3639" s="148" t="s">
        <v>696</v>
      </c>
      <c r="E3639" s="148">
        <v>0</v>
      </c>
      <c r="F3639" s="148" t="s">
        <v>37</v>
      </c>
    </row>
    <row r="3640" spans="1:6" ht="15.75">
      <c r="A3640" t="str">
        <f t="shared" si="56"/>
        <v>GrensPACECS</v>
      </c>
      <c r="C3640" s="148" t="s">
        <v>478</v>
      </c>
      <c r="D3640" s="148" t="s">
        <v>69</v>
      </c>
      <c r="E3640" s="148">
        <v>6757.7183203299992</v>
      </c>
      <c r="F3640" s="148" t="s">
        <v>37</v>
      </c>
    </row>
    <row r="3641" spans="1:6" ht="15.75">
      <c r="A3641" t="str">
        <f t="shared" si="56"/>
        <v>GrensSolaireECS</v>
      </c>
      <c r="C3641" s="148" t="s">
        <v>478</v>
      </c>
      <c r="D3641" s="148" t="s">
        <v>240</v>
      </c>
      <c r="E3641" s="148">
        <v>54923.400000000009</v>
      </c>
      <c r="F3641" s="148" t="s">
        <v>37</v>
      </c>
    </row>
    <row r="3642" spans="1:6" ht="15.75">
      <c r="A3642" t="str">
        <f t="shared" si="56"/>
        <v>GryonAutre agent énergétiqueECS</v>
      </c>
      <c r="C3642" s="148" t="s">
        <v>479</v>
      </c>
      <c r="D3642" s="148" t="s">
        <v>245</v>
      </c>
      <c r="E3642" s="148">
        <v>1844.7058823499999</v>
      </c>
      <c r="F3642" s="148" t="s">
        <v>37</v>
      </c>
    </row>
    <row r="3643" spans="1:6" ht="15.75">
      <c r="A3643" t="str">
        <f t="shared" si="56"/>
        <v>GryonBoisECS</v>
      </c>
      <c r="C3643" s="148" t="s">
        <v>479</v>
      </c>
      <c r="D3643" s="148" t="s">
        <v>66</v>
      </c>
      <c r="E3643" s="148">
        <v>374571.63607843011</v>
      </c>
      <c r="F3643" s="148" t="s">
        <v>37</v>
      </c>
    </row>
    <row r="3644" spans="1:6" ht="15.75">
      <c r="A3644" t="str">
        <f t="shared" si="56"/>
        <v>GryonCADECS</v>
      </c>
      <c r="C3644" s="148" t="s">
        <v>479</v>
      </c>
      <c r="D3644" s="148" t="s">
        <v>242</v>
      </c>
      <c r="E3644" s="148">
        <v>3360</v>
      </c>
      <c r="F3644" s="148" t="s">
        <v>37</v>
      </c>
    </row>
    <row r="3645" spans="1:6" ht="15.75">
      <c r="A3645" t="str">
        <f t="shared" si="56"/>
        <v>GryonElectricitéECS</v>
      </c>
      <c r="C3645" s="148" t="s">
        <v>479</v>
      </c>
      <c r="D3645" s="148" t="s">
        <v>97</v>
      </c>
      <c r="E3645" s="148">
        <v>1272140.79999996</v>
      </c>
      <c r="F3645" s="148" t="s">
        <v>37</v>
      </c>
    </row>
    <row r="3646" spans="1:6" ht="15.75">
      <c r="A3646" t="str">
        <f t="shared" si="56"/>
        <v>GryonGazECS</v>
      </c>
      <c r="C3646" s="148" t="s">
        <v>479</v>
      </c>
      <c r="D3646" s="148" t="s">
        <v>239</v>
      </c>
      <c r="E3646" s="148">
        <v>365326.63427109993</v>
      </c>
      <c r="F3646" s="148" t="s">
        <v>37</v>
      </c>
    </row>
    <row r="3647" spans="1:6" ht="15.75">
      <c r="A3647" t="str">
        <f t="shared" si="56"/>
        <v>GryonMazoutECS</v>
      </c>
      <c r="C3647" s="148" t="s">
        <v>479</v>
      </c>
      <c r="D3647" s="148" t="s">
        <v>70</v>
      </c>
      <c r="E3647" s="148">
        <v>2605392.4385026121</v>
      </c>
      <c r="F3647" s="148" t="s">
        <v>37</v>
      </c>
    </row>
    <row r="3648" spans="1:6" ht="15.75">
      <c r="A3648" t="str">
        <f t="shared" si="56"/>
        <v>GryonNon renseignéECS</v>
      </c>
      <c r="C3648" s="148" t="s">
        <v>479</v>
      </c>
      <c r="D3648" s="148" t="s">
        <v>696</v>
      </c>
      <c r="E3648" s="148">
        <v>0</v>
      </c>
      <c r="F3648" s="148" t="s">
        <v>37</v>
      </c>
    </row>
    <row r="3649" spans="1:6" ht="15.75">
      <c r="A3649" t="str">
        <f t="shared" si="56"/>
        <v>GryonPACECS</v>
      </c>
      <c r="C3649" s="148" t="s">
        <v>479</v>
      </c>
      <c r="D3649" s="148" t="s">
        <v>69</v>
      </c>
      <c r="E3649" s="148">
        <v>42780.177876859998</v>
      </c>
      <c r="F3649" s="148" t="s">
        <v>37</v>
      </c>
    </row>
    <row r="3650" spans="1:6" ht="15.75">
      <c r="A3650" t="str">
        <f t="shared" si="56"/>
        <v>GryonSolaireECS</v>
      </c>
      <c r="C3650" s="148" t="s">
        <v>479</v>
      </c>
      <c r="D3650" s="148" t="s">
        <v>240</v>
      </c>
      <c r="E3650" s="148">
        <v>140726.74000000002</v>
      </c>
      <c r="F3650" s="148" t="s">
        <v>37</v>
      </c>
    </row>
    <row r="3651" spans="1:6" ht="15.75">
      <c r="A3651" t="str">
        <f t="shared" si="56"/>
        <v>HautemorgesBoisECS</v>
      </c>
      <c r="C3651" s="148" t="s">
        <v>887</v>
      </c>
      <c r="D3651" s="148" t="s">
        <v>66</v>
      </c>
      <c r="E3651" s="148">
        <v>355821.84784311999</v>
      </c>
      <c r="F3651" s="148" t="s">
        <v>37</v>
      </c>
    </row>
    <row r="3652" spans="1:6" ht="15.75">
      <c r="A3652" t="str">
        <f t="shared" si="56"/>
        <v>HautemorgesCADECS</v>
      </c>
      <c r="C3652" s="148" t="s">
        <v>887</v>
      </c>
      <c r="D3652" s="148" t="s">
        <v>242</v>
      </c>
      <c r="E3652" s="148">
        <v>9296</v>
      </c>
      <c r="F3652" s="148" t="s">
        <v>37</v>
      </c>
    </row>
    <row r="3653" spans="1:6" ht="15.75">
      <c r="A3653" t="str">
        <f t="shared" si="56"/>
        <v>HautemorgesElectricitéECS</v>
      </c>
      <c r="C3653" s="148" t="s">
        <v>887</v>
      </c>
      <c r="D3653" s="148" t="s">
        <v>97</v>
      </c>
      <c r="E3653" s="148">
        <v>959832.53333335975</v>
      </c>
      <c r="F3653" s="148" t="s">
        <v>37</v>
      </c>
    </row>
    <row r="3654" spans="1:6" ht="15.75">
      <c r="A3654" t="str">
        <f t="shared" si="56"/>
        <v>HautemorgesGazECS</v>
      </c>
      <c r="C3654" s="148" t="s">
        <v>887</v>
      </c>
      <c r="D3654" s="148" t="s">
        <v>239</v>
      </c>
      <c r="E3654" s="148">
        <v>2036002.6560300095</v>
      </c>
      <c r="F3654" s="148" t="s">
        <v>37</v>
      </c>
    </row>
    <row r="3655" spans="1:6" ht="15.75">
      <c r="A3655" t="str">
        <f t="shared" si="56"/>
        <v>HautemorgesMazoutECS</v>
      </c>
      <c r="C3655" s="148" t="s">
        <v>887</v>
      </c>
      <c r="D3655" s="148" t="s">
        <v>70</v>
      </c>
      <c r="E3655" s="148">
        <v>2190430.8962567514</v>
      </c>
      <c r="F3655" s="148" t="s">
        <v>37</v>
      </c>
    </row>
    <row r="3656" spans="1:6" ht="15.75">
      <c r="A3656" t="str">
        <f t="shared" si="56"/>
        <v>HautemorgesNon renseignéECS</v>
      </c>
      <c r="C3656" s="148" t="s">
        <v>887</v>
      </c>
      <c r="D3656" s="148" t="s">
        <v>696</v>
      </c>
      <c r="E3656" s="148">
        <v>0</v>
      </c>
      <c r="F3656" s="148" t="s">
        <v>37</v>
      </c>
    </row>
    <row r="3657" spans="1:6" ht="15.75">
      <c r="A3657" t="str">
        <f t="shared" si="56"/>
        <v>HautemorgesPACECS</v>
      </c>
      <c r="C3657" s="148" t="s">
        <v>887</v>
      </c>
      <c r="D3657" s="148" t="s">
        <v>69</v>
      </c>
      <c r="E3657" s="148">
        <v>48851.890994690009</v>
      </c>
      <c r="F3657" s="148" t="s">
        <v>37</v>
      </c>
    </row>
    <row r="3658" spans="1:6" ht="15.75">
      <c r="A3658" t="str">
        <f t="shared" si="56"/>
        <v>HautemorgesSolaireECS</v>
      </c>
      <c r="C3658" s="148" t="s">
        <v>887</v>
      </c>
      <c r="D3658" s="148" t="s">
        <v>240</v>
      </c>
      <c r="E3658" s="148">
        <v>481375.99999999994</v>
      </c>
      <c r="F3658" s="148" t="s">
        <v>37</v>
      </c>
    </row>
    <row r="3659" spans="1:6" ht="15.75">
      <c r="A3659" t="str">
        <f t="shared" si="56"/>
        <v>HenniezBoisECS</v>
      </c>
      <c r="C3659" s="148" t="s">
        <v>480</v>
      </c>
      <c r="D3659" s="148" t="s">
        <v>66</v>
      </c>
      <c r="E3659" s="148">
        <v>24179.70196079</v>
      </c>
      <c r="F3659" s="148" t="s">
        <v>37</v>
      </c>
    </row>
    <row r="3660" spans="1:6" ht="15.75">
      <c r="A3660" t="str">
        <f t="shared" si="56"/>
        <v>HenniezCharbonECS</v>
      </c>
      <c r="C3660" s="148" t="s">
        <v>480</v>
      </c>
      <c r="D3660" s="148" t="s">
        <v>695</v>
      </c>
      <c r="E3660" s="148" t="e">
        <v>#N/A</v>
      </c>
      <c r="F3660" s="148" t="s">
        <v>37</v>
      </c>
    </row>
    <row r="3661" spans="1:6" ht="15.75">
      <c r="A3661" t="str">
        <f t="shared" si="56"/>
        <v>HenniezElectricitéECS</v>
      </c>
      <c r="C3661" s="148" t="s">
        <v>480</v>
      </c>
      <c r="D3661" s="148" t="s">
        <v>97</v>
      </c>
      <c r="E3661" s="148">
        <v>117176.88888888</v>
      </c>
      <c r="F3661" s="148" t="s">
        <v>37</v>
      </c>
    </row>
    <row r="3662" spans="1:6" ht="15.75">
      <c r="A3662" t="str">
        <f t="shared" si="56"/>
        <v>HenniezGazECS</v>
      </c>
      <c r="C3662" s="148" t="s">
        <v>480</v>
      </c>
      <c r="D3662" s="148" t="s">
        <v>239</v>
      </c>
      <c r="E3662" s="148">
        <v>418853.73299230001</v>
      </c>
      <c r="F3662" s="148" t="s">
        <v>37</v>
      </c>
    </row>
    <row r="3663" spans="1:6" ht="15.75">
      <c r="A3663" t="str">
        <f t="shared" si="56"/>
        <v>HenniezMazoutECS</v>
      </c>
      <c r="C3663" s="148" t="s">
        <v>480</v>
      </c>
      <c r="D3663" s="148" t="s">
        <v>70</v>
      </c>
      <c r="E3663" s="148">
        <v>210803.76470587999</v>
      </c>
      <c r="F3663" s="148" t="s">
        <v>37</v>
      </c>
    </row>
    <row r="3664" spans="1:6" ht="15.75">
      <c r="A3664" t="str">
        <f t="shared" si="56"/>
        <v>HenniezNon renseignéECS</v>
      </c>
      <c r="C3664" s="148" t="s">
        <v>480</v>
      </c>
      <c r="D3664" s="148" t="s">
        <v>696</v>
      </c>
      <c r="E3664" s="148">
        <v>0</v>
      </c>
      <c r="F3664" s="148" t="s">
        <v>37</v>
      </c>
    </row>
    <row r="3665" spans="1:6" ht="15.75">
      <c r="A3665" t="str">
        <f t="shared" si="56"/>
        <v>HenniezPACECS</v>
      </c>
      <c r="C3665" s="148" t="s">
        <v>480</v>
      </c>
      <c r="D3665" s="148" t="s">
        <v>69</v>
      </c>
      <c r="E3665" s="148">
        <v>3313.1772575300001</v>
      </c>
      <c r="F3665" s="148" t="s">
        <v>37</v>
      </c>
    </row>
    <row r="3666" spans="1:6" ht="15.75">
      <c r="A3666" t="str">
        <f t="shared" si="56"/>
        <v>HenniezCADECS</v>
      </c>
      <c r="C3666" s="148" t="s">
        <v>480</v>
      </c>
      <c r="D3666" s="148" t="s">
        <v>242</v>
      </c>
      <c r="E3666" s="148">
        <v>2318.4</v>
      </c>
      <c r="F3666" s="148" t="s">
        <v>37</v>
      </c>
    </row>
    <row r="3667" spans="1:6" ht="15.75">
      <c r="A3667" t="str">
        <f t="shared" ref="A3667:A3730" si="57">_xlfn.CONCAT(C3667,D3667,F3667)</f>
        <v>HenniezSolaireECS</v>
      </c>
      <c r="C3667" s="148" t="s">
        <v>480</v>
      </c>
      <c r="D3667" s="148" t="s">
        <v>240</v>
      </c>
      <c r="E3667" s="148">
        <v>66373.3</v>
      </c>
      <c r="F3667" s="148" t="s">
        <v>37</v>
      </c>
    </row>
    <row r="3668" spans="1:6" ht="15.75">
      <c r="A3668" t="str">
        <f t="shared" si="57"/>
        <v>HermenchesBoisECS</v>
      </c>
      <c r="C3668" s="148" t="s">
        <v>481</v>
      </c>
      <c r="D3668" s="148" t="s">
        <v>66</v>
      </c>
      <c r="E3668" s="148">
        <v>64316.549019600003</v>
      </c>
      <c r="F3668" s="148" t="s">
        <v>37</v>
      </c>
    </row>
    <row r="3669" spans="1:6" ht="15.75">
      <c r="A3669" t="str">
        <f t="shared" si="57"/>
        <v>HermenchesElectricitéECS</v>
      </c>
      <c r="C3669" s="148" t="s">
        <v>481</v>
      </c>
      <c r="D3669" s="148" t="s">
        <v>97</v>
      </c>
      <c r="E3669" s="148">
        <v>70602</v>
      </c>
      <c r="F3669" s="148" t="s">
        <v>37</v>
      </c>
    </row>
    <row r="3670" spans="1:6" ht="15.75">
      <c r="A3670" t="str">
        <f t="shared" si="57"/>
        <v>HermenchesGazECS</v>
      </c>
      <c r="C3670" s="148" t="s">
        <v>481</v>
      </c>
      <c r="D3670" s="148" t="s">
        <v>239</v>
      </c>
      <c r="E3670" s="148" t="e">
        <v>#N/A</v>
      </c>
      <c r="F3670" s="148" t="s">
        <v>37</v>
      </c>
    </row>
    <row r="3671" spans="1:6" ht="15.75">
      <c r="A3671" t="str">
        <f t="shared" si="57"/>
        <v>HermenchesMazoutECS</v>
      </c>
      <c r="C3671" s="148" t="s">
        <v>481</v>
      </c>
      <c r="D3671" s="148" t="s">
        <v>70</v>
      </c>
      <c r="E3671" s="148">
        <v>426036.47058823006</v>
      </c>
      <c r="F3671" s="148" t="s">
        <v>37</v>
      </c>
    </row>
    <row r="3672" spans="1:6" ht="15.75">
      <c r="A3672" t="str">
        <f t="shared" si="57"/>
        <v>HermenchesNon renseignéECS</v>
      </c>
      <c r="C3672" s="148" t="s">
        <v>481</v>
      </c>
      <c r="D3672" s="148" t="s">
        <v>696</v>
      </c>
      <c r="E3672" s="148">
        <v>0</v>
      </c>
      <c r="F3672" s="148" t="s">
        <v>37</v>
      </c>
    </row>
    <row r="3673" spans="1:6" ht="15.75">
      <c r="A3673" t="str">
        <f t="shared" si="57"/>
        <v>HermenchesPACECS</v>
      </c>
      <c r="C3673" s="148" t="s">
        <v>481</v>
      </c>
      <c r="D3673" s="148" t="s">
        <v>69</v>
      </c>
      <c r="E3673" s="148">
        <v>15048.283166109999</v>
      </c>
      <c r="F3673" s="148" t="s">
        <v>37</v>
      </c>
    </row>
    <row r="3674" spans="1:6" ht="15.75">
      <c r="A3674" t="str">
        <f t="shared" si="57"/>
        <v>HermenchesCharbonECS</v>
      </c>
      <c r="C3674" s="148" t="s">
        <v>481</v>
      </c>
      <c r="D3674" s="148" t="s">
        <v>695</v>
      </c>
      <c r="E3674" s="148" t="e">
        <v>#N/A</v>
      </c>
      <c r="F3674" s="148" t="s">
        <v>37</v>
      </c>
    </row>
    <row r="3675" spans="1:6" ht="15.75">
      <c r="A3675" t="str">
        <f t="shared" si="57"/>
        <v>HermenchesSolaireECS</v>
      </c>
      <c r="C3675" s="148" t="s">
        <v>481</v>
      </c>
      <c r="D3675" s="148" t="s">
        <v>240</v>
      </c>
      <c r="E3675" s="148">
        <v>40194</v>
      </c>
      <c r="F3675" s="148" t="s">
        <v>37</v>
      </c>
    </row>
    <row r="3676" spans="1:6" ht="15.75">
      <c r="A3676" t="str">
        <f t="shared" si="57"/>
        <v>JongnyBoisECS</v>
      </c>
      <c r="C3676" s="148" t="s">
        <v>482</v>
      </c>
      <c r="D3676" s="148" t="s">
        <v>66</v>
      </c>
      <c r="E3676" s="148">
        <v>370343.04313726001</v>
      </c>
      <c r="F3676" s="148" t="s">
        <v>37</v>
      </c>
    </row>
    <row r="3677" spans="1:6" ht="15.75">
      <c r="A3677" t="str">
        <f t="shared" si="57"/>
        <v>JongnyElectricitéECS</v>
      </c>
      <c r="C3677" s="148" t="s">
        <v>482</v>
      </c>
      <c r="D3677" s="148" t="s">
        <v>97</v>
      </c>
      <c r="E3677" s="148">
        <v>340593.98632477998</v>
      </c>
      <c r="F3677" s="148" t="s">
        <v>37</v>
      </c>
    </row>
    <row r="3678" spans="1:6" ht="15.75">
      <c r="A3678" t="str">
        <f t="shared" si="57"/>
        <v>JongnyGazECS</v>
      </c>
      <c r="C3678" s="148" t="s">
        <v>482</v>
      </c>
      <c r="D3678" s="148" t="s">
        <v>239</v>
      </c>
      <c r="E3678" s="148">
        <v>997774.27109979012</v>
      </c>
      <c r="F3678" s="148" t="s">
        <v>37</v>
      </c>
    </row>
    <row r="3679" spans="1:6" ht="15.75">
      <c r="A3679" t="str">
        <f t="shared" si="57"/>
        <v>JongnyMazoutECS</v>
      </c>
      <c r="C3679" s="148" t="s">
        <v>482</v>
      </c>
      <c r="D3679" s="148" t="s">
        <v>70</v>
      </c>
      <c r="E3679" s="148">
        <v>704338.35294121003</v>
      </c>
      <c r="F3679" s="148" t="s">
        <v>37</v>
      </c>
    </row>
    <row r="3680" spans="1:6" ht="15.75">
      <c r="A3680" t="str">
        <f t="shared" si="57"/>
        <v>JongnyNon renseignéECS</v>
      </c>
      <c r="C3680" s="148" t="s">
        <v>482</v>
      </c>
      <c r="D3680" s="148" t="s">
        <v>696</v>
      </c>
      <c r="E3680" s="148" t="e">
        <v>#N/A</v>
      </c>
      <c r="F3680" s="148" t="s">
        <v>37</v>
      </c>
    </row>
    <row r="3681" spans="1:6" ht="15.75">
      <c r="A3681" t="str">
        <f t="shared" si="57"/>
        <v>JongnyPACECS</v>
      </c>
      <c r="C3681" s="148" t="s">
        <v>482</v>
      </c>
      <c r="D3681" s="148" t="s">
        <v>69</v>
      </c>
      <c r="E3681" s="148">
        <v>43463.063297400004</v>
      </c>
      <c r="F3681" s="148" t="s">
        <v>37</v>
      </c>
    </row>
    <row r="3682" spans="1:6" ht="15.75">
      <c r="A3682" t="str">
        <f t="shared" si="57"/>
        <v>JongnySolaireECS</v>
      </c>
      <c r="C3682" s="148" t="s">
        <v>482</v>
      </c>
      <c r="D3682" s="148" t="s">
        <v>240</v>
      </c>
      <c r="E3682" s="148">
        <v>119541.1</v>
      </c>
      <c r="F3682" s="148" t="s">
        <v>37</v>
      </c>
    </row>
    <row r="3683" spans="1:6" ht="15.75">
      <c r="A3683" t="str">
        <f t="shared" si="57"/>
        <v>Jorat-MenthueAutre agent énergétiqueECS</v>
      </c>
      <c r="C3683" s="148" t="s">
        <v>483</v>
      </c>
      <c r="D3683" s="148" t="s">
        <v>245</v>
      </c>
      <c r="E3683" s="148" t="e">
        <v>#N/A</v>
      </c>
      <c r="F3683" s="148" t="s">
        <v>37</v>
      </c>
    </row>
    <row r="3684" spans="1:6" ht="15.75">
      <c r="A3684" t="str">
        <f t="shared" si="57"/>
        <v>Jorat-MenthueBoisECS</v>
      </c>
      <c r="C3684" s="148" t="s">
        <v>483</v>
      </c>
      <c r="D3684" s="148" t="s">
        <v>66</v>
      </c>
      <c r="E3684" s="148">
        <v>318364.0627451</v>
      </c>
      <c r="F3684" s="148" t="s">
        <v>37</v>
      </c>
    </row>
    <row r="3685" spans="1:6" ht="15.75">
      <c r="A3685" t="str">
        <f t="shared" si="57"/>
        <v>Jorat-MenthueCADECS</v>
      </c>
      <c r="C3685" s="148" t="s">
        <v>483</v>
      </c>
      <c r="D3685" s="148" t="s">
        <v>242</v>
      </c>
      <c r="E3685" s="148">
        <v>18776.800000000003</v>
      </c>
      <c r="F3685" s="148" t="s">
        <v>37</v>
      </c>
    </row>
    <row r="3686" spans="1:6" ht="15.75">
      <c r="A3686" t="str">
        <f t="shared" si="57"/>
        <v>Jorat-MenthueElectricitéECS</v>
      </c>
      <c r="C3686" s="148" t="s">
        <v>483</v>
      </c>
      <c r="D3686" s="148" t="s">
        <v>97</v>
      </c>
      <c r="E3686" s="148">
        <v>549158.3999999701</v>
      </c>
      <c r="F3686" s="148" t="s">
        <v>37</v>
      </c>
    </row>
    <row r="3687" spans="1:6" ht="15.75">
      <c r="A3687" t="str">
        <f t="shared" si="57"/>
        <v>Jorat-MenthueGazECS</v>
      </c>
      <c r="C3687" s="148" t="s">
        <v>483</v>
      </c>
      <c r="D3687" s="148" t="s">
        <v>239</v>
      </c>
      <c r="E3687" s="148">
        <v>129532.08184145</v>
      </c>
      <c r="F3687" s="148" t="s">
        <v>37</v>
      </c>
    </row>
    <row r="3688" spans="1:6" ht="15.75">
      <c r="A3688" t="str">
        <f t="shared" si="57"/>
        <v>Jorat-MenthueMazoutECS</v>
      </c>
      <c r="C3688" s="148" t="s">
        <v>483</v>
      </c>
      <c r="D3688" s="148" t="s">
        <v>70</v>
      </c>
      <c r="E3688" s="148">
        <v>1132341.9882353204</v>
      </c>
      <c r="F3688" s="148" t="s">
        <v>37</v>
      </c>
    </row>
    <row r="3689" spans="1:6" ht="15.75">
      <c r="A3689" t="str">
        <f t="shared" si="57"/>
        <v>Jorat-MenthueNon renseignéECS</v>
      </c>
      <c r="C3689" s="148" t="s">
        <v>483</v>
      </c>
      <c r="D3689" s="148" t="s">
        <v>696</v>
      </c>
      <c r="E3689" s="148">
        <v>0</v>
      </c>
      <c r="F3689" s="148" t="s">
        <v>37</v>
      </c>
    </row>
    <row r="3690" spans="1:6" ht="15.75">
      <c r="A3690" t="str">
        <f t="shared" si="57"/>
        <v>Jorat-MenthuePACECS</v>
      </c>
      <c r="C3690" s="148" t="s">
        <v>483</v>
      </c>
      <c r="D3690" s="148" t="s">
        <v>69</v>
      </c>
      <c r="E3690" s="148">
        <v>47490.098352540001</v>
      </c>
      <c r="F3690" s="148" t="s">
        <v>37</v>
      </c>
    </row>
    <row r="3691" spans="1:6" ht="15.75">
      <c r="A3691" t="str">
        <f t="shared" si="57"/>
        <v>Jorat-MenthueSolaireECS</v>
      </c>
      <c r="C3691" s="148" t="s">
        <v>483</v>
      </c>
      <c r="D3691" s="148" t="s">
        <v>240</v>
      </c>
      <c r="E3691" s="148">
        <v>223936.93000000002</v>
      </c>
      <c r="F3691" s="148" t="s">
        <v>37</v>
      </c>
    </row>
    <row r="3692" spans="1:6" ht="15.75">
      <c r="A3692" t="str">
        <f t="shared" si="57"/>
        <v>Jorat-MézièresAutre agent énergétiqueECS</v>
      </c>
      <c r="C3692" s="148" t="s">
        <v>639</v>
      </c>
      <c r="D3692" s="148" t="s">
        <v>245</v>
      </c>
      <c r="E3692" s="148">
        <v>7530.3529411700001</v>
      </c>
      <c r="F3692" s="148" t="s">
        <v>37</v>
      </c>
    </row>
    <row r="3693" spans="1:6" ht="15.75">
      <c r="A3693" t="str">
        <f t="shared" si="57"/>
        <v>Jorat-MézièresBoisECS</v>
      </c>
      <c r="C3693" s="148" t="s">
        <v>639</v>
      </c>
      <c r="D3693" s="148" t="s">
        <v>66</v>
      </c>
      <c r="E3693" s="148">
        <v>582521.54196078994</v>
      </c>
      <c r="F3693" s="148" t="s">
        <v>37</v>
      </c>
    </row>
    <row r="3694" spans="1:6" ht="15.75">
      <c r="A3694" t="str">
        <f t="shared" si="57"/>
        <v>Jorat-MézièresCADECS</v>
      </c>
      <c r="C3694" s="148" t="s">
        <v>639</v>
      </c>
      <c r="D3694" s="148" t="s">
        <v>242</v>
      </c>
      <c r="E3694" s="148">
        <v>112478.80000000002</v>
      </c>
      <c r="F3694" s="148" t="s">
        <v>37</v>
      </c>
    </row>
    <row r="3695" spans="1:6" ht="15.75">
      <c r="A3695" t="str">
        <f t="shared" si="57"/>
        <v>Jorat-MézièresElectricitéECS</v>
      </c>
      <c r="C3695" s="148" t="s">
        <v>639</v>
      </c>
      <c r="D3695" s="148" t="s">
        <v>97</v>
      </c>
      <c r="E3695" s="148">
        <v>822797.11111109983</v>
      </c>
      <c r="F3695" s="148" t="s">
        <v>37</v>
      </c>
    </row>
    <row r="3696" spans="1:6" ht="15.75">
      <c r="A3696" t="str">
        <f t="shared" si="57"/>
        <v>Jorat-MézièresGazECS</v>
      </c>
      <c r="C3696" s="148" t="s">
        <v>639</v>
      </c>
      <c r="D3696" s="148" t="s">
        <v>239</v>
      </c>
      <c r="E3696" s="148">
        <v>562139.46854220016</v>
      </c>
      <c r="F3696" s="148" t="s">
        <v>37</v>
      </c>
    </row>
    <row r="3697" spans="1:6" ht="15.75">
      <c r="A3697" t="str">
        <f t="shared" si="57"/>
        <v>Jorat-MézièresMazoutECS</v>
      </c>
      <c r="C3697" s="148" t="s">
        <v>639</v>
      </c>
      <c r="D3697" s="148" t="s">
        <v>70</v>
      </c>
      <c r="E3697" s="148">
        <v>1694785.3450980799</v>
      </c>
      <c r="F3697" s="148" t="s">
        <v>37</v>
      </c>
    </row>
    <row r="3698" spans="1:6" ht="15.75">
      <c r="A3698" t="str">
        <f t="shared" si="57"/>
        <v>Jorat-MézièresNon renseignéECS</v>
      </c>
      <c r="C3698" s="148" t="s">
        <v>639</v>
      </c>
      <c r="D3698" s="148" t="s">
        <v>696</v>
      </c>
      <c r="E3698" s="148">
        <v>0</v>
      </c>
      <c r="F3698" s="148" t="s">
        <v>37</v>
      </c>
    </row>
    <row r="3699" spans="1:6" ht="15.75">
      <c r="A3699" t="str">
        <f t="shared" si="57"/>
        <v>Jorat-MézièresPACECS</v>
      </c>
      <c r="C3699" s="148" t="s">
        <v>639</v>
      </c>
      <c r="D3699" s="148" t="s">
        <v>69</v>
      </c>
      <c r="E3699" s="148">
        <v>104650.93775546001</v>
      </c>
      <c r="F3699" s="148" t="s">
        <v>37</v>
      </c>
    </row>
    <row r="3700" spans="1:6" ht="15.75">
      <c r="A3700" t="str">
        <f t="shared" si="57"/>
        <v>Jorat-MézièresSolaireECS</v>
      </c>
      <c r="C3700" s="148" t="s">
        <v>639</v>
      </c>
      <c r="D3700" s="148" t="s">
        <v>240</v>
      </c>
      <c r="E3700" s="148">
        <v>288108.10000000009</v>
      </c>
      <c r="F3700" s="148" t="s">
        <v>37</v>
      </c>
    </row>
    <row r="3701" spans="1:6" ht="15.75">
      <c r="A3701" t="str">
        <f t="shared" si="57"/>
        <v>Jouxtens-MézeryBoisECS</v>
      </c>
      <c r="C3701" s="148" t="s">
        <v>687</v>
      </c>
      <c r="D3701" s="148" t="s">
        <v>66</v>
      </c>
      <c r="E3701" s="148">
        <v>39928</v>
      </c>
      <c r="F3701" s="148" t="s">
        <v>37</v>
      </c>
    </row>
    <row r="3702" spans="1:6" ht="15.75">
      <c r="A3702" t="str">
        <f t="shared" si="57"/>
        <v>Jouxtens-MézeryCADECS</v>
      </c>
      <c r="C3702" s="148" t="s">
        <v>687</v>
      </c>
      <c r="D3702" s="148" t="s">
        <v>242</v>
      </c>
      <c r="E3702" s="148">
        <v>2352</v>
      </c>
      <c r="F3702" s="148" t="s">
        <v>37</v>
      </c>
    </row>
    <row r="3703" spans="1:6" ht="15.75">
      <c r="A3703" t="str">
        <f t="shared" si="57"/>
        <v>Jouxtens-MézeryElectricitéECS</v>
      </c>
      <c r="C3703" s="148" t="s">
        <v>687</v>
      </c>
      <c r="D3703" s="148" t="s">
        <v>97</v>
      </c>
      <c r="E3703" s="148">
        <v>331639.77777773998</v>
      </c>
      <c r="F3703" s="148" t="s">
        <v>37</v>
      </c>
    </row>
    <row r="3704" spans="1:6" ht="15.75">
      <c r="A3704" t="str">
        <f t="shared" si="57"/>
        <v>Jouxtens-MézeryGazECS</v>
      </c>
      <c r="C3704" s="148" t="s">
        <v>687</v>
      </c>
      <c r="D3704" s="148" t="s">
        <v>239</v>
      </c>
      <c r="E3704" s="148">
        <v>782938.75703321025</v>
      </c>
      <c r="F3704" s="148" t="s">
        <v>37</v>
      </c>
    </row>
    <row r="3705" spans="1:6" ht="15.75">
      <c r="A3705" t="str">
        <f t="shared" si="57"/>
        <v>Jouxtens-MézeryMazoutECS</v>
      </c>
      <c r="C3705" s="148" t="s">
        <v>687</v>
      </c>
      <c r="D3705" s="148" t="s">
        <v>70</v>
      </c>
      <c r="E3705" s="148">
        <v>666240.23529413005</v>
      </c>
      <c r="F3705" s="148" t="s">
        <v>37</v>
      </c>
    </row>
    <row r="3706" spans="1:6" ht="15.75">
      <c r="A3706" t="str">
        <f t="shared" si="57"/>
        <v>Jouxtens-MézeryNon renseignéECS</v>
      </c>
      <c r="C3706" s="148" t="s">
        <v>687</v>
      </c>
      <c r="D3706" s="148" t="s">
        <v>696</v>
      </c>
      <c r="E3706" s="148">
        <v>0</v>
      </c>
      <c r="F3706" s="148" t="s">
        <v>37</v>
      </c>
    </row>
    <row r="3707" spans="1:6" ht="15.75">
      <c r="A3707" t="str">
        <f t="shared" si="57"/>
        <v>Jouxtens-MézeryPACECS</v>
      </c>
      <c r="C3707" s="148" t="s">
        <v>687</v>
      </c>
      <c r="D3707" s="148" t="s">
        <v>69</v>
      </c>
      <c r="E3707" s="148">
        <v>60688.717577130017</v>
      </c>
      <c r="F3707" s="148" t="s">
        <v>37</v>
      </c>
    </row>
    <row r="3708" spans="1:6" ht="15.75">
      <c r="A3708" t="str">
        <f t="shared" si="57"/>
        <v>Jouxtens-MézerySolaireECS</v>
      </c>
      <c r="C3708" s="148" t="s">
        <v>687</v>
      </c>
      <c r="D3708" s="148" t="s">
        <v>240</v>
      </c>
      <c r="E3708" s="148">
        <v>118665.40000000001</v>
      </c>
      <c r="F3708" s="148" t="s">
        <v>37</v>
      </c>
    </row>
    <row r="3709" spans="1:6" ht="15.75">
      <c r="A3709" t="str">
        <f t="shared" si="57"/>
        <v>JuriensBoisECS</v>
      </c>
      <c r="C3709" s="148" t="s">
        <v>484</v>
      </c>
      <c r="D3709" s="148" t="s">
        <v>66</v>
      </c>
      <c r="E3709" s="148">
        <v>120476.53333332999</v>
      </c>
      <c r="F3709" s="148" t="s">
        <v>37</v>
      </c>
    </row>
    <row r="3710" spans="1:6" ht="15.75">
      <c r="A3710" t="str">
        <f t="shared" si="57"/>
        <v>JuriensCADECS</v>
      </c>
      <c r="C3710" s="148" t="s">
        <v>484</v>
      </c>
      <c r="D3710" s="148" t="s">
        <v>242</v>
      </c>
      <c r="E3710" s="148">
        <v>13104</v>
      </c>
      <c r="F3710" s="148" t="s">
        <v>37</v>
      </c>
    </row>
    <row r="3711" spans="1:6" ht="15.75">
      <c r="A3711" t="str">
        <f t="shared" si="57"/>
        <v>JuriensElectricitéECS</v>
      </c>
      <c r="C3711" s="148" t="s">
        <v>484</v>
      </c>
      <c r="D3711" s="148" t="s">
        <v>97</v>
      </c>
      <c r="E3711" s="148">
        <v>160729.95555555998</v>
      </c>
      <c r="F3711" s="148" t="s">
        <v>37</v>
      </c>
    </row>
    <row r="3712" spans="1:6" ht="15.75">
      <c r="A3712" t="str">
        <f t="shared" si="57"/>
        <v>JuriensGazECS</v>
      </c>
      <c r="C3712" s="148" t="s">
        <v>484</v>
      </c>
      <c r="D3712" s="148" t="s">
        <v>239</v>
      </c>
      <c r="E3712" s="148">
        <v>9427.7647058799994</v>
      </c>
      <c r="F3712" s="148" t="s">
        <v>37</v>
      </c>
    </row>
    <row r="3713" spans="1:6" ht="15.75">
      <c r="A3713" t="str">
        <f t="shared" si="57"/>
        <v>JuriensMazoutECS</v>
      </c>
      <c r="C3713" s="148" t="s">
        <v>484</v>
      </c>
      <c r="D3713" s="148" t="s">
        <v>70</v>
      </c>
      <c r="E3713" s="148">
        <v>289333.88235295005</v>
      </c>
      <c r="F3713" s="148" t="s">
        <v>37</v>
      </c>
    </row>
    <row r="3714" spans="1:6" ht="15.75">
      <c r="A3714" t="str">
        <f t="shared" si="57"/>
        <v>JuriensNon renseignéECS</v>
      </c>
      <c r="C3714" s="148" t="s">
        <v>484</v>
      </c>
      <c r="D3714" s="148" t="s">
        <v>696</v>
      </c>
      <c r="E3714" s="148">
        <v>0</v>
      </c>
      <c r="F3714" s="148" t="s">
        <v>37</v>
      </c>
    </row>
    <row r="3715" spans="1:6" ht="15.75">
      <c r="A3715" t="str">
        <f t="shared" si="57"/>
        <v>JuriensPACECS</v>
      </c>
      <c r="C3715" s="148" t="s">
        <v>484</v>
      </c>
      <c r="D3715" s="148" t="s">
        <v>69</v>
      </c>
      <c r="E3715" s="148">
        <v>15261.435897430001</v>
      </c>
      <c r="F3715" s="148" t="s">
        <v>37</v>
      </c>
    </row>
    <row r="3716" spans="1:6" ht="15.75">
      <c r="A3716" t="str">
        <f t="shared" si="57"/>
        <v>JuriensSolaireECS</v>
      </c>
      <c r="C3716" s="148" t="s">
        <v>484</v>
      </c>
      <c r="D3716" s="148" t="s">
        <v>240</v>
      </c>
      <c r="E3716" s="148">
        <v>29495.200000000001</v>
      </c>
      <c r="F3716" s="148" t="s">
        <v>37</v>
      </c>
    </row>
    <row r="3717" spans="1:6" ht="15.75">
      <c r="A3717" t="str">
        <f t="shared" si="57"/>
        <v>L'AbbayeAutre agent énergétiqueECS</v>
      </c>
      <c r="C3717" s="148" t="s">
        <v>688</v>
      </c>
      <c r="D3717" s="148" t="s">
        <v>245</v>
      </c>
      <c r="E3717" s="148">
        <v>3544.4705882399999</v>
      </c>
      <c r="F3717" s="148" t="s">
        <v>37</v>
      </c>
    </row>
    <row r="3718" spans="1:6" ht="15.75">
      <c r="A3718" t="str">
        <f t="shared" si="57"/>
        <v>L'AbbayeBoisECS</v>
      </c>
      <c r="C3718" s="148" t="s">
        <v>688</v>
      </c>
      <c r="D3718" s="148" t="s">
        <v>66</v>
      </c>
      <c r="E3718" s="148">
        <v>286095.34745097993</v>
      </c>
      <c r="F3718" s="148" t="s">
        <v>37</v>
      </c>
    </row>
    <row r="3719" spans="1:6" ht="15.75">
      <c r="A3719" t="str">
        <f t="shared" si="57"/>
        <v>L'AbbayeCADECS</v>
      </c>
      <c r="C3719" s="148" t="s">
        <v>688</v>
      </c>
      <c r="D3719" s="148" t="s">
        <v>242</v>
      </c>
      <c r="E3719" s="148">
        <v>13776</v>
      </c>
      <c r="F3719" s="148" t="s">
        <v>37</v>
      </c>
    </row>
    <row r="3720" spans="1:6" ht="15.75">
      <c r="A3720" t="str">
        <f t="shared" si="57"/>
        <v>L'AbbayeElectricitéECS</v>
      </c>
      <c r="C3720" s="148" t="s">
        <v>688</v>
      </c>
      <c r="D3720" s="148" t="s">
        <v>97</v>
      </c>
      <c r="E3720" s="148">
        <v>584904.44444443006</v>
      </c>
      <c r="F3720" s="148" t="s">
        <v>37</v>
      </c>
    </row>
    <row r="3721" spans="1:6" ht="15.75">
      <c r="A3721" t="str">
        <f t="shared" si="57"/>
        <v>L'AbbayeGazECS</v>
      </c>
      <c r="C3721" s="148" t="s">
        <v>688</v>
      </c>
      <c r="D3721" s="148" t="s">
        <v>239</v>
      </c>
      <c r="E3721" s="148">
        <v>64602.588235309995</v>
      </c>
      <c r="F3721" s="148" t="s">
        <v>37</v>
      </c>
    </row>
    <row r="3722" spans="1:6" ht="15.75">
      <c r="A3722" t="str">
        <f t="shared" si="57"/>
        <v>L'AbbayeMazoutECS</v>
      </c>
      <c r="C3722" s="148" t="s">
        <v>688</v>
      </c>
      <c r="D3722" s="148" t="s">
        <v>70</v>
      </c>
      <c r="E3722" s="148">
        <v>1940551.2636364002</v>
      </c>
      <c r="F3722" s="148" t="s">
        <v>37</v>
      </c>
    </row>
    <row r="3723" spans="1:6" ht="15.75">
      <c r="A3723" t="str">
        <f t="shared" si="57"/>
        <v>L'AbbayeNon renseignéECS</v>
      </c>
      <c r="C3723" s="148" t="s">
        <v>688</v>
      </c>
      <c r="D3723" s="148" t="s">
        <v>696</v>
      </c>
      <c r="E3723" s="148">
        <v>0</v>
      </c>
      <c r="F3723" s="148" t="s">
        <v>37</v>
      </c>
    </row>
    <row r="3724" spans="1:6" ht="15.75">
      <c r="A3724" t="str">
        <f t="shared" si="57"/>
        <v>L'AbbayePACECS</v>
      </c>
      <c r="C3724" s="148" t="s">
        <v>688</v>
      </c>
      <c r="D3724" s="148" t="s">
        <v>69</v>
      </c>
      <c r="E3724" s="148">
        <v>51889.494301990002</v>
      </c>
      <c r="F3724" s="148" t="s">
        <v>37</v>
      </c>
    </row>
    <row r="3725" spans="1:6" ht="15.75">
      <c r="A3725" t="str">
        <f t="shared" si="57"/>
        <v>L'AbbayeSolaireECS</v>
      </c>
      <c r="C3725" s="148" t="s">
        <v>688</v>
      </c>
      <c r="D3725" s="148" t="s">
        <v>240</v>
      </c>
      <c r="E3725" s="148">
        <v>115075.80000000002</v>
      </c>
      <c r="F3725" s="148" t="s">
        <v>37</v>
      </c>
    </row>
    <row r="3726" spans="1:6" ht="15.75">
      <c r="A3726" t="str">
        <f t="shared" si="57"/>
        <v>L'AbergementBoisECS</v>
      </c>
      <c r="C3726" s="148" t="s">
        <v>637</v>
      </c>
      <c r="D3726" s="148" t="s">
        <v>66</v>
      </c>
      <c r="E3726" s="148">
        <v>52075.937254900004</v>
      </c>
      <c r="F3726" s="148" t="s">
        <v>37</v>
      </c>
    </row>
    <row r="3727" spans="1:6" ht="15.75">
      <c r="A3727" t="str">
        <f t="shared" si="57"/>
        <v>L'AbergementCADECS</v>
      </c>
      <c r="C3727" s="148" t="s">
        <v>637</v>
      </c>
      <c r="D3727" s="148" t="s">
        <v>242</v>
      </c>
      <c r="E3727" s="148" t="e">
        <v>#N/A</v>
      </c>
      <c r="F3727" s="148" t="s">
        <v>37</v>
      </c>
    </row>
    <row r="3728" spans="1:6" ht="15.75">
      <c r="A3728" t="str">
        <f t="shared" si="57"/>
        <v>L'AbergementElectricitéECS</v>
      </c>
      <c r="C3728" s="148" t="s">
        <v>637</v>
      </c>
      <c r="D3728" s="148" t="s">
        <v>97</v>
      </c>
      <c r="E3728" s="148">
        <v>177152.88888889999</v>
      </c>
      <c r="F3728" s="148" t="s">
        <v>37</v>
      </c>
    </row>
    <row r="3729" spans="1:6" ht="15.75">
      <c r="A3729" t="str">
        <f t="shared" si="57"/>
        <v>L'AbergementGazECS</v>
      </c>
      <c r="C3729" s="148" t="s">
        <v>637</v>
      </c>
      <c r="D3729" s="148" t="s">
        <v>239</v>
      </c>
      <c r="E3729" s="148">
        <v>102885.17647059001</v>
      </c>
      <c r="F3729" s="148" t="s">
        <v>37</v>
      </c>
    </row>
    <row r="3730" spans="1:6" ht="15.75">
      <c r="A3730" t="str">
        <f t="shared" si="57"/>
        <v>L'AbergementMazoutECS</v>
      </c>
      <c r="C3730" s="148" t="s">
        <v>637</v>
      </c>
      <c r="D3730" s="148" t="s">
        <v>70</v>
      </c>
      <c r="E3730" s="148">
        <v>157317.17647057</v>
      </c>
      <c r="F3730" s="148" t="s">
        <v>37</v>
      </c>
    </row>
    <row r="3731" spans="1:6" ht="15.75">
      <c r="A3731" t="str">
        <f t="shared" ref="A3731:A3794" si="58">_xlfn.CONCAT(C3731,D3731,F3731)</f>
        <v>L'AbergementNon renseignéECS</v>
      </c>
      <c r="C3731" s="148" t="s">
        <v>637</v>
      </c>
      <c r="D3731" s="148" t="s">
        <v>696</v>
      </c>
      <c r="E3731" s="148">
        <v>0</v>
      </c>
      <c r="F3731" s="148" t="s">
        <v>37</v>
      </c>
    </row>
    <row r="3732" spans="1:6" ht="15.75">
      <c r="A3732" t="str">
        <f t="shared" si="58"/>
        <v>L'AbergementPACECS</v>
      </c>
      <c r="C3732" s="148" t="s">
        <v>637</v>
      </c>
      <c r="D3732" s="148" t="s">
        <v>69</v>
      </c>
      <c r="E3732" s="148">
        <v>10355.317725749999</v>
      </c>
      <c r="F3732" s="148" t="s">
        <v>37</v>
      </c>
    </row>
    <row r="3733" spans="1:6" ht="15.75">
      <c r="A3733" t="str">
        <f t="shared" si="58"/>
        <v>L'AbergementSolaireECS</v>
      </c>
      <c r="C3733" s="148" t="s">
        <v>637</v>
      </c>
      <c r="D3733" s="148" t="s">
        <v>240</v>
      </c>
      <c r="E3733" s="148">
        <v>7588</v>
      </c>
      <c r="F3733" s="148" t="s">
        <v>37</v>
      </c>
    </row>
    <row r="3734" spans="1:6" ht="15.75">
      <c r="A3734" t="str">
        <f t="shared" si="58"/>
        <v>L'IsleAutre agent énergétiqueECS</v>
      </c>
      <c r="C3734" s="148" t="s">
        <v>635</v>
      </c>
      <c r="D3734" s="148" t="s">
        <v>245</v>
      </c>
      <c r="E3734" s="148">
        <v>4611.7647058900002</v>
      </c>
      <c r="F3734" s="148" t="s">
        <v>37</v>
      </c>
    </row>
    <row r="3735" spans="1:6" ht="15.75">
      <c r="A3735" t="str">
        <f t="shared" si="58"/>
        <v>L'IsleBoisECS</v>
      </c>
      <c r="C3735" s="148" t="s">
        <v>635</v>
      </c>
      <c r="D3735" s="148" t="s">
        <v>66</v>
      </c>
      <c r="E3735" s="148">
        <v>148770.58823530999</v>
      </c>
      <c r="F3735" s="148" t="s">
        <v>37</v>
      </c>
    </row>
    <row r="3736" spans="1:6" ht="15.75">
      <c r="A3736" t="str">
        <f t="shared" si="58"/>
        <v>L'IsleCADECS</v>
      </c>
      <c r="C3736" s="148" t="s">
        <v>635</v>
      </c>
      <c r="D3736" s="148" t="s">
        <v>242</v>
      </c>
      <c r="E3736" s="148">
        <v>65237.2</v>
      </c>
      <c r="F3736" s="148" t="s">
        <v>37</v>
      </c>
    </row>
    <row r="3737" spans="1:6" ht="15.75">
      <c r="A3737" t="str">
        <f t="shared" si="58"/>
        <v>L'IsleElectricitéECS</v>
      </c>
      <c r="C3737" s="148" t="s">
        <v>635</v>
      </c>
      <c r="D3737" s="148" t="s">
        <v>97</v>
      </c>
      <c r="E3737" s="148">
        <v>640671.11111115024</v>
      </c>
      <c r="F3737" s="148" t="s">
        <v>37</v>
      </c>
    </row>
    <row r="3738" spans="1:6" ht="15.75">
      <c r="A3738" t="str">
        <f t="shared" si="58"/>
        <v>L'IsleGazECS</v>
      </c>
      <c r="C3738" s="148" t="s">
        <v>635</v>
      </c>
      <c r="D3738" s="148" t="s">
        <v>239</v>
      </c>
      <c r="E3738" s="148">
        <v>293230.62659847998</v>
      </c>
      <c r="F3738" s="148" t="s">
        <v>37</v>
      </c>
    </row>
    <row r="3739" spans="1:6" ht="15.75">
      <c r="A3739" t="str">
        <f t="shared" si="58"/>
        <v>L'IsleMazoutECS</v>
      </c>
      <c r="C3739" s="148" t="s">
        <v>635</v>
      </c>
      <c r="D3739" s="148" t="s">
        <v>70</v>
      </c>
      <c r="E3739" s="148">
        <v>780780.00000003038</v>
      </c>
      <c r="F3739" s="148" t="s">
        <v>37</v>
      </c>
    </row>
    <row r="3740" spans="1:6" ht="15.75">
      <c r="A3740" t="str">
        <f t="shared" si="58"/>
        <v>L'IsleNon renseignéECS</v>
      </c>
      <c r="C3740" s="148" t="s">
        <v>635</v>
      </c>
      <c r="D3740" s="148" t="s">
        <v>696</v>
      </c>
      <c r="E3740" s="148">
        <v>0</v>
      </c>
      <c r="F3740" s="148" t="s">
        <v>37</v>
      </c>
    </row>
    <row r="3741" spans="1:6" ht="15.75">
      <c r="A3741" t="str">
        <f t="shared" si="58"/>
        <v>L'IslePACECS</v>
      </c>
      <c r="C3741" s="148" t="s">
        <v>635</v>
      </c>
      <c r="D3741" s="148" t="s">
        <v>69</v>
      </c>
      <c r="E3741" s="148">
        <v>10634.755852839999</v>
      </c>
      <c r="F3741" s="148" t="s">
        <v>37</v>
      </c>
    </row>
    <row r="3742" spans="1:6" ht="15.75">
      <c r="A3742" t="str">
        <f t="shared" si="58"/>
        <v>L'IsleSolaireECS</v>
      </c>
      <c r="C3742" s="148" t="s">
        <v>635</v>
      </c>
      <c r="D3742" s="148" t="s">
        <v>240</v>
      </c>
      <c r="E3742" s="148">
        <v>64572.899999999994</v>
      </c>
      <c r="F3742" s="148" t="s">
        <v>37</v>
      </c>
    </row>
    <row r="3743" spans="1:6" ht="15.75">
      <c r="A3743" t="str">
        <f t="shared" si="58"/>
        <v>La Chaux (Cossonay)Autre agent énergétiqueECS</v>
      </c>
      <c r="C3743" s="148" t="s">
        <v>485</v>
      </c>
      <c r="D3743" s="148" t="s">
        <v>245</v>
      </c>
      <c r="E3743" s="148">
        <v>3478.5882352899998</v>
      </c>
      <c r="F3743" s="148" t="s">
        <v>37</v>
      </c>
    </row>
    <row r="3744" spans="1:6" ht="15.75">
      <c r="A3744" t="str">
        <f t="shared" si="58"/>
        <v>La Chaux (Cossonay)BoisECS</v>
      </c>
      <c r="C3744" s="148" t="s">
        <v>485</v>
      </c>
      <c r="D3744" s="148" t="s">
        <v>66</v>
      </c>
      <c r="E3744" s="148">
        <v>50377.600000000006</v>
      </c>
      <c r="F3744" s="148" t="s">
        <v>37</v>
      </c>
    </row>
    <row r="3745" spans="1:6" ht="15.75">
      <c r="A3745" t="str">
        <f t="shared" si="58"/>
        <v>La Chaux (Cossonay)ElectricitéECS</v>
      </c>
      <c r="C3745" s="148" t="s">
        <v>485</v>
      </c>
      <c r="D3745" s="148" t="s">
        <v>97</v>
      </c>
      <c r="E3745" s="148">
        <v>142827.99999998001</v>
      </c>
      <c r="F3745" s="148" t="s">
        <v>37</v>
      </c>
    </row>
    <row r="3746" spans="1:6" ht="15.75">
      <c r="A3746" t="str">
        <f t="shared" si="58"/>
        <v>La Chaux (Cossonay)GazECS</v>
      </c>
      <c r="C3746" s="148" t="s">
        <v>485</v>
      </c>
      <c r="D3746" s="148" t="s">
        <v>239</v>
      </c>
      <c r="E3746" s="148">
        <v>290449.90792836004</v>
      </c>
      <c r="F3746" s="148" t="s">
        <v>37</v>
      </c>
    </row>
    <row r="3747" spans="1:6" ht="15.75">
      <c r="A3747" t="str">
        <f t="shared" si="58"/>
        <v>La Chaux (Cossonay)MazoutECS</v>
      </c>
      <c r="C3747" s="148" t="s">
        <v>485</v>
      </c>
      <c r="D3747" s="148" t="s">
        <v>70</v>
      </c>
      <c r="E3747" s="148">
        <v>143445.64705882</v>
      </c>
      <c r="F3747" s="148" t="s">
        <v>37</v>
      </c>
    </row>
    <row r="3748" spans="1:6" ht="15.75">
      <c r="A3748" t="str">
        <f t="shared" si="58"/>
        <v>La Chaux (Cossonay)Non renseignéECS</v>
      </c>
      <c r="C3748" s="148" t="s">
        <v>485</v>
      </c>
      <c r="D3748" s="148" t="s">
        <v>696</v>
      </c>
      <c r="E3748" s="148">
        <v>0</v>
      </c>
      <c r="F3748" s="148" t="s">
        <v>37</v>
      </c>
    </row>
    <row r="3749" spans="1:6" ht="15.75">
      <c r="A3749" t="str">
        <f t="shared" si="58"/>
        <v>La Chaux (Cossonay)PACECS</v>
      </c>
      <c r="C3749" s="148" t="s">
        <v>485</v>
      </c>
      <c r="D3749" s="148" t="s">
        <v>69</v>
      </c>
      <c r="E3749" s="148">
        <v>5789.5384615399998</v>
      </c>
      <c r="F3749" s="148" t="s">
        <v>37</v>
      </c>
    </row>
    <row r="3750" spans="1:6" ht="15.75">
      <c r="A3750" t="str">
        <f t="shared" si="58"/>
        <v>La Chaux (Cossonay)SolaireECS</v>
      </c>
      <c r="C3750" s="148" t="s">
        <v>485</v>
      </c>
      <c r="D3750" s="148" t="s">
        <v>240</v>
      </c>
      <c r="E3750" s="148">
        <v>96877.900000000009</v>
      </c>
      <c r="F3750" s="148" t="s">
        <v>37</v>
      </c>
    </row>
    <row r="3751" spans="1:6" ht="15.75">
      <c r="A3751" t="str">
        <f t="shared" si="58"/>
        <v>La PrazBoisECS</v>
      </c>
      <c r="C3751" s="148" t="s">
        <v>486</v>
      </c>
      <c r="D3751" s="148" t="s">
        <v>66</v>
      </c>
      <c r="E3751" s="148">
        <v>121982.93333333</v>
      </c>
      <c r="F3751" s="148" t="s">
        <v>37</v>
      </c>
    </row>
    <row r="3752" spans="1:6" ht="15.75">
      <c r="A3752" t="str">
        <f t="shared" si="58"/>
        <v>La PrazElectricitéECS</v>
      </c>
      <c r="C3752" s="148" t="s">
        <v>486</v>
      </c>
      <c r="D3752" s="148" t="s">
        <v>97</v>
      </c>
      <c r="E3752" s="148">
        <v>96808.444444439985</v>
      </c>
      <c r="F3752" s="148" t="s">
        <v>37</v>
      </c>
    </row>
    <row r="3753" spans="1:6" ht="15.75">
      <c r="A3753" t="str">
        <f t="shared" si="58"/>
        <v>La PrazMazoutECS</v>
      </c>
      <c r="C3753" s="148" t="s">
        <v>486</v>
      </c>
      <c r="D3753" s="148" t="s">
        <v>70</v>
      </c>
      <c r="E3753" s="148">
        <v>183818.35294117997</v>
      </c>
      <c r="F3753" s="148" t="s">
        <v>37</v>
      </c>
    </row>
    <row r="3754" spans="1:6" ht="15.75">
      <c r="A3754" t="str">
        <f t="shared" si="58"/>
        <v>La PrazNon renseignéECS</v>
      </c>
      <c r="C3754" s="148" t="s">
        <v>486</v>
      </c>
      <c r="D3754" s="148" t="s">
        <v>696</v>
      </c>
      <c r="E3754" s="148">
        <v>0</v>
      </c>
      <c r="F3754" s="148" t="s">
        <v>37</v>
      </c>
    </row>
    <row r="3755" spans="1:6" ht="15.75">
      <c r="A3755" t="str">
        <f t="shared" si="58"/>
        <v>La PrazPACECS</v>
      </c>
      <c r="C3755" s="148" t="s">
        <v>486</v>
      </c>
      <c r="D3755" s="148" t="s">
        <v>69</v>
      </c>
      <c r="E3755" s="148">
        <v>1068.30769231</v>
      </c>
      <c r="F3755" s="148" t="s">
        <v>37</v>
      </c>
    </row>
    <row r="3756" spans="1:6" ht="15.75">
      <c r="A3756" t="str">
        <f t="shared" si="58"/>
        <v>La PrazGazECS</v>
      </c>
      <c r="C3756" s="148" t="s">
        <v>486</v>
      </c>
      <c r="D3756" s="148" t="s">
        <v>239</v>
      </c>
      <c r="E3756" s="148">
        <v>1976.4705882400001</v>
      </c>
      <c r="F3756" s="148" t="s">
        <v>37</v>
      </c>
    </row>
    <row r="3757" spans="1:6" ht="15.75">
      <c r="A3757" t="str">
        <f t="shared" si="58"/>
        <v>La PrazSolaireECS</v>
      </c>
      <c r="C3757" s="148" t="s">
        <v>486</v>
      </c>
      <c r="D3757" s="148" t="s">
        <v>240</v>
      </c>
      <c r="E3757" s="148">
        <v>28897.400000000005</v>
      </c>
      <c r="F3757" s="148" t="s">
        <v>37</v>
      </c>
    </row>
    <row r="3758" spans="1:6" ht="15.75">
      <c r="A3758" t="str">
        <f t="shared" si="58"/>
        <v>La RippeBoisECS</v>
      </c>
      <c r="C3758" s="148" t="s">
        <v>487</v>
      </c>
      <c r="D3758" s="148" t="s">
        <v>66</v>
      </c>
      <c r="E3758" s="148">
        <v>199548.29803922997</v>
      </c>
      <c r="F3758" s="148" t="s">
        <v>37</v>
      </c>
    </row>
    <row r="3759" spans="1:6" ht="15.75">
      <c r="A3759" t="str">
        <f t="shared" si="58"/>
        <v>La RippeCADECS</v>
      </c>
      <c r="C3759" s="148" t="s">
        <v>487</v>
      </c>
      <c r="D3759" s="148" t="s">
        <v>242</v>
      </c>
      <c r="E3759" s="148" t="e">
        <v>#N/A</v>
      </c>
      <c r="F3759" s="148" t="s">
        <v>37</v>
      </c>
    </row>
    <row r="3760" spans="1:6" ht="15.75">
      <c r="A3760" t="str">
        <f t="shared" si="58"/>
        <v>La RippeElectricitéECS</v>
      </c>
      <c r="C3760" s="148" t="s">
        <v>487</v>
      </c>
      <c r="D3760" s="148" t="s">
        <v>97</v>
      </c>
      <c r="E3760" s="148">
        <v>547924.22222219023</v>
      </c>
      <c r="F3760" s="148" t="s">
        <v>37</v>
      </c>
    </row>
    <row r="3761" spans="1:6" ht="15.75">
      <c r="A3761" t="str">
        <f t="shared" si="58"/>
        <v>La RippeGazECS</v>
      </c>
      <c r="C3761" s="148" t="s">
        <v>487</v>
      </c>
      <c r="D3761" s="148" t="s">
        <v>239</v>
      </c>
      <c r="E3761" s="148">
        <v>76127.058823540006</v>
      </c>
      <c r="F3761" s="148" t="s">
        <v>37</v>
      </c>
    </row>
    <row r="3762" spans="1:6" ht="15.75">
      <c r="A3762" t="str">
        <f t="shared" si="58"/>
        <v>La RippeMazoutECS</v>
      </c>
      <c r="C3762" s="148" t="s">
        <v>487</v>
      </c>
      <c r="D3762" s="148" t="s">
        <v>70</v>
      </c>
      <c r="E3762" s="148">
        <v>768450.11764702015</v>
      </c>
      <c r="F3762" s="148" t="s">
        <v>37</v>
      </c>
    </row>
    <row r="3763" spans="1:6" ht="15.75">
      <c r="A3763" t="str">
        <f t="shared" si="58"/>
        <v>La RippeNon renseignéECS</v>
      </c>
      <c r="C3763" s="148" t="s">
        <v>487</v>
      </c>
      <c r="D3763" s="148" t="s">
        <v>696</v>
      </c>
      <c r="E3763" s="148">
        <v>0</v>
      </c>
      <c r="F3763" s="148" t="s">
        <v>37</v>
      </c>
    </row>
    <row r="3764" spans="1:6" ht="15.75">
      <c r="A3764" t="str">
        <f t="shared" si="58"/>
        <v>La RippePACECS</v>
      </c>
      <c r="C3764" s="148" t="s">
        <v>487</v>
      </c>
      <c r="D3764" s="148" t="s">
        <v>69</v>
      </c>
      <c r="E3764" s="148">
        <v>35220.375572900004</v>
      </c>
      <c r="F3764" s="148" t="s">
        <v>37</v>
      </c>
    </row>
    <row r="3765" spans="1:6" ht="15.75">
      <c r="A3765" t="str">
        <f t="shared" si="58"/>
        <v>La RippeSolaireECS</v>
      </c>
      <c r="C3765" s="148" t="s">
        <v>487</v>
      </c>
      <c r="D3765" s="148" t="s">
        <v>240</v>
      </c>
      <c r="E3765" s="148">
        <v>51192.399999999994</v>
      </c>
      <c r="F3765" s="148" t="s">
        <v>37</v>
      </c>
    </row>
    <row r="3766" spans="1:6" ht="15.75">
      <c r="A3766" t="str">
        <f t="shared" si="58"/>
        <v>La SarrazAutre agent énergétiqueECS</v>
      </c>
      <c r="C3766" s="148" t="s">
        <v>488</v>
      </c>
      <c r="D3766" s="148" t="s">
        <v>245</v>
      </c>
      <c r="E3766" s="148" t="e">
        <v>#N/A</v>
      </c>
      <c r="F3766" s="148" t="s">
        <v>37</v>
      </c>
    </row>
    <row r="3767" spans="1:6" ht="15.75">
      <c r="A3767" t="str">
        <f t="shared" si="58"/>
        <v>La SarrazBoisECS</v>
      </c>
      <c r="C3767" s="148" t="s">
        <v>488</v>
      </c>
      <c r="D3767" s="148" t="s">
        <v>66</v>
      </c>
      <c r="E3767" s="148">
        <v>100207.93725492001</v>
      </c>
      <c r="F3767" s="148" t="s">
        <v>37</v>
      </c>
    </row>
    <row r="3768" spans="1:6" ht="15.75">
      <c r="A3768" t="str">
        <f t="shared" si="58"/>
        <v>La SarrazCADECS</v>
      </c>
      <c r="C3768" s="148" t="s">
        <v>488</v>
      </c>
      <c r="D3768" s="148" t="s">
        <v>242</v>
      </c>
      <c r="E3768" s="148">
        <v>137394.6</v>
      </c>
      <c r="F3768" s="148" t="s">
        <v>37</v>
      </c>
    </row>
    <row r="3769" spans="1:6" ht="15.75">
      <c r="A3769" t="str">
        <f t="shared" si="58"/>
        <v>La SarrazElectricitéECS</v>
      </c>
      <c r="C3769" s="148" t="s">
        <v>488</v>
      </c>
      <c r="D3769" s="148" t="s">
        <v>97</v>
      </c>
      <c r="E3769" s="148">
        <v>787273.19999993965</v>
      </c>
      <c r="F3769" s="148" t="s">
        <v>37</v>
      </c>
    </row>
    <row r="3770" spans="1:6" ht="15.75">
      <c r="A3770" t="str">
        <f t="shared" si="58"/>
        <v>La SarrazGazECS</v>
      </c>
      <c r="C3770" s="148" t="s">
        <v>488</v>
      </c>
      <c r="D3770" s="148" t="s">
        <v>239</v>
      </c>
      <c r="E3770" s="148">
        <v>1267876.9872122102</v>
      </c>
      <c r="F3770" s="148" t="s">
        <v>37</v>
      </c>
    </row>
    <row r="3771" spans="1:6" ht="15.75">
      <c r="A3771" t="str">
        <f t="shared" si="58"/>
        <v>La SarrazMazoutECS</v>
      </c>
      <c r="C3771" s="148" t="s">
        <v>488</v>
      </c>
      <c r="D3771" s="148" t="s">
        <v>70</v>
      </c>
      <c r="E3771" s="148">
        <v>660262.07058822038</v>
      </c>
      <c r="F3771" s="148" t="s">
        <v>37</v>
      </c>
    </row>
    <row r="3772" spans="1:6" ht="15.75">
      <c r="A3772" t="str">
        <f t="shared" si="58"/>
        <v>La SarrazNon renseignéECS</v>
      </c>
      <c r="C3772" s="148" t="s">
        <v>488</v>
      </c>
      <c r="D3772" s="148" t="s">
        <v>696</v>
      </c>
      <c r="E3772" s="148">
        <v>0</v>
      </c>
      <c r="F3772" s="148" t="s">
        <v>37</v>
      </c>
    </row>
    <row r="3773" spans="1:6" ht="15.75">
      <c r="A3773" t="str">
        <f t="shared" si="58"/>
        <v>La SarrazPACECS</v>
      </c>
      <c r="C3773" s="148" t="s">
        <v>488</v>
      </c>
      <c r="D3773" s="148" t="s">
        <v>69</v>
      </c>
      <c r="E3773" s="148">
        <v>10213.35117057</v>
      </c>
      <c r="F3773" s="148" t="s">
        <v>37</v>
      </c>
    </row>
    <row r="3774" spans="1:6" ht="15.75">
      <c r="A3774" t="str">
        <f t="shared" si="58"/>
        <v>La SarrazSolaireECS</v>
      </c>
      <c r="C3774" s="148" t="s">
        <v>488</v>
      </c>
      <c r="D3774" s="148" t="s">
        <v>240</v>
      </c>
      <c r="E3774" s="148">
        <v>197069.6</v>
      </c>
      <c r="F3774" s="148" t="s">
        <v>37</v>
      </c>
    </row>
    <row r="3775" spans="1:6" ht="15.75">
      <c r="A3775" t="str">
        <f t="shared" si="58"/>
        <v>La Tour-de-PeilzBoisECS</v>
      </c>
      <c r="C3775" s="148" t="s">
        <v>638</v>
      </c>
      <c r="D3775" s="148" t="s">
        <v>66</v>
      </c>
      <c r="E3775" s="148">
        <v>456927.38823529013</v>
      </c>
      <c r="F3775" s="148" t="s">
        <v>37</v>
      </c>
    </row>
    <row r="3776" spans="1:6" ht="15.75">
      <c r="A3776" t="str">
        <f t="shared" si="58"/>
        <v>La Tour-de-PeilzCADECS</v>
      </c>
      <c r="C3776" s="148" t="s">
        <v>638</v>
      </c>
      <c r="D3776" s="148" t="s">
        <v>242</v>
      </c>
      <c r="E3776" s="148">
        <v>29760.080000000002</v>
      </c>
      <c r="F3776" s="148" t="s">
        <v>37</v>
      </c>
    </row>
    <row r="3777" spans="1:6" ht="15.75">
      <c r="A3777" t="str">
        <f t="shared" si="58"/>
        <v>La Tour-de-PeilzElectricitéECS</v>
      </c>
      <c r="C3777" s="148" t="s">
        <v>638</v>
      </c>
      <c r="D3777" s="148" t="s">
        <v>97</v>
      </c>
      <c r="E3777" s="148">
        <v>806734.44444449968</v>
      </c>
      <c r="F3777" s="148" t="s">
        <v>37</v>
      </c>
    </row>
    <row r="3778" spans="1:6" ht="15.75">
      <c r="A3778" t="str">
        <f t="shared" si="58"/>
        <v>La Tour-de-PeilzGazECS</v>
      </c>
      <c r="C3778" s="148" t="s">
        <v>638</v>
      </c>
      <c r="D3778" s="148" t="s">
        <v>239</v>
      </c>
      <c r="E3778" s="148">
        <v>6404314.3938620286</v>
      </c>
      <c r="F3778" s="148" t="s">
        <v>37</v>
      </c>
    </row>
    <row r="3779" spans="1:6" ht="15.75">
      <c r="A3779" t="str">
        <f t="shared" si="58"/>
        <v>La Tour-de-PeilzMazoutECS</v>
      </c>
      <c r="C3779" s="148" t="s">
        <v>638</v>
      </c>
      <c r="D3779" s="148" t="s">
        <v>70</v>
      </c>
      <c r="E3779" s="148">
        <v>7169090.0235293154</v>
      </c>
      <c r="F3779" s="148" t="s">
        <v>37</v>
      </c>
    </row>
    <row r="3780" spans="1:6" ht="15.75">
      <c r="A3780" t="str">
        <f t="shared" si="58"/>
        <v>La Tour-de-PeilzNon renseignéECS</v>
      </c>
      <c r="C3780" s="148" t="s">
        <v>638</v>
      </c>
      <c r="D3780" s="148" t="s">
        <v>696</v>
      </c>
      <c r="E3780" s="148">
        <v>0</v>
      </c>
      <c r="F3780" s="148" t="s">
        <v>37</v>
      </c>
    </row>
    <row r="3781" spans="1:6" ht="15.75">
      <c r="A3781" t="str">
        <f t="shared" si="58"/>
        <v>La Tour-de-PeilzPACECS</v>
      </c>
      <c r="C3781" s="148" t="s">
        <v>638</v>
      </c>
      <c r="D3781" s="148" t="s">
        <v>69</v>
      </c>
      <c r="E3781" s="148">
        <v>271722.76055986009</v>
      </c>
      <c r="F3781" s="148" t="s">
        <v>37</v>
      </c>
    </row>
    <row r="3782" spans="1:6" ht="15.75">
      <c r="A3782" t="str">
        <f t="shared" si="58"/>
        <v>La Tour-de-PeilzSolaireECS</v>
      </c>
      <c r="C3782" s="148" t="s">
        <v>638</v>
      </c>
      <c r="D3782" s="148" t="s">
        <v>240</v>
      </c>
      <c r="E3782" s="148">
        <v>659901.62000000034</v>
      </c>
      <c r="F3782" s="148" t="s">
        <v>37</v>
      </c>
    </row>
    <row r="3783" spans="1:6" ht="15.75">
      <c r="A3783" t="str">
        <f t="shared" si="58"/>
        <v>La Tour-de-PeilzAutre agent énergétiqueECS</v>
      </c>
      <c r="C3783" s="148" t="s">
        <v>638</v>
      </c>
      <c r="D3783" s="148" t="s">
        <v>245</v>
      </c>
      <c r="E3783" s="148">
        <v>52752</v>
      </c>
      <c r="F3783" s="148" t="s">
        <v>37</v>
      </c>
    </row>
    <row r="3784" spans="1:6" ht="15.75">
      <c r="A3784" t="str">
        <f t="shared" si="58"/>
        <v>LausanneAutre agent énergétiqueECS</v>
      </c>
      <c r="C3784" s="148" t="s">
        <v>324</v>
      </c>
      <c r="D3784" s="148" t="s">
        <v>245</v>
      </c>
      <c r="E3784" s="148">
        <v>5805246.5882352805</v>
      </c>
      <c r="F3784" s="148" t="s">
        <v>37</v>
      </c>
    </row>
    <row r="3785" spans="1:6" ht="15.75">
      <c r="A3785" t="str">
        <f t="shared" si="58"/>
        <v>LausanneBoisECS</v>
      </c>
      <c r="C3785" s="148" t="s">
        <v>324</v>
      </c>
      <c r="D3785" s="148" t="s">
        <v>66</v>
      </c>
      <c r="E3785" s="148">
        <v>2354661.8447059011</v>
      </c>
      <c r="F3785" s="148" t="s">
        <v>37</v>
      </c>
    </row>
    <row r="3786" spans="1:6" ht="15.75">
      <c r="A3786" t="str">
        <f t="shared" si="58"/>
        <v>LausanneCADECS</v>
      </c>
      <c r="C3786" s="148" t="s">
        <v>324</v>
      </c>
      <c r="D3786" s="148" t="s">
        <v>242</v>
      </c>
      <c r="E3786" s="148">
        <v>43001727.443529375</v>
      </c>
      <c r="F3786" s="148" t="s">
        <v>37</v>
      </c>
    </row>
    <row r="3787" spans="1:6" ht="15.75">
      <c r="A3787" t="str">
        <f t="shared" si="58"/>
        <v>LausanneElectricitéECS</v>
      </c>
      <c r="C3787" s="148" t="s">
        <v>324</v>
      </c>
      <c r="D3787" s="148" t="s">
        <v>97</v>
      </c>
      <c r="E3787" s="148">
        <v>7711791.8980391733</v>
      </c>
      <c r="F3787" s="148" t="s">
        <v>37</v>
      </c>
    </row>
    <row r="3788" spans="1:6" ht="15.75">
      <c r="A3788" t="str">
        <f t="shared" si="58"/>
        <v>LausanneGazECS</v>
      </c>
      <c r="C3788" s="148" t="s">
        <v>324</v>
      </c>
      <c r="D3788" s="148" t="s">
        <v>239</v>
      </c>
      <c r="E3788" s="148">
        <v>64174099.459746063</v>
      </c>
      <c r="F3788" s="148" t="s">
        <v>37</v>
      </c>
    </row>
    <row r="3789" spans="1:6" ht="15.75">
      <c r="A3789" t="str">
        <f t="shared" si="58"/>
        <v>LausanneMazoutECS</v>
      </c>
      <c r="C3789" s="148" t="s">
        <v>324</v>
      </c>
      <c r="D3789" s="148" t="s">
        <v>70</v>
      </c>
      <c r="E3789" s="148">
        <v>90839170.213072017</v>
      </c>
      <c r="F3789" s="148" t="s">
        <v>37</v>
      </c>
    </row>
    <row r="3790" spans="1:6" ht="15.75">
      <c r="A3790" t="str">
        <f t="shared" si="58"/>
        <v>LausanneNon renseignéECS</v>
      </c>
      <c r="C3790" s="148" t="s">
        <v>324</v>
      </c>
      <c r="D3790" s="148" t="s">
        <v>696</v>
      </c>
      <c r="E3790" s="148">
        <v>0</v>
      </c>
      <c r="F3790" s="148" t="s">
        <v>37</v>
      </c>
    </row>
    <row r="3791" spans="1:6" ht="15.75">
      <c r="A3791" t="str">
        <f t="shared" si="58"/>
        <v>LausannePACECS</v>
      </c>
      <c r="C3791" s="148" t="s">
        <v>324</v>
      </c>
      <c r="D3791" s="148" t="s">
        <v>69</v>
      </c>
      <c r="E3791" s="148">
        <v>525263.59345964005</v>
      </c>
      <c r="F3791" s="148" t="s">
        <v>37</v>
      </c>
    </row>
    <row r="3792" spans="1:6" ht="15.75">
      <c r="A3792" t="str">
        <f t="shared" si="58"/>
        <v>LausanneSolaireECS</v>
      </c>
      <c r="C3792" s="148" t="s">
        <v>324</v>
      </c>
      <c r="D3792" s="148" t="s">
        <v>240</v>
      </c>
      <c r="E3792" s="148">
        <v>3887018.3447058694</v>
      </c>
      <c r="F3792" s="148" t="s">
        <v>37</v>
      </c>
    </row>
    <row r="3793" spans="1:6" ht="15.75">
      <c r="A3793" t="str">
        <f t="shared" si="58"/>
        <v>LausanneCharbonECS</v>
      </c>
      <c r="C3793" s="148" t="s">
        <v>324</v>
      </c>
      <c r="D3793" s="148" t="s">
        <v>695</v>
      </c>
      <c r="E3793" s="148" t="e">
        <v>#N/A</v>
      </c>
      <c r="F3793" s="148" t="s">
        <v>37</v>
      </c>
    </row>
    <row r="3794" spans="1:6" ht="15.75">
      <c r="A3794" t="str">
        <f t="shared" si="58"/>
        <v>Lavey-MorclesAutre agent énergétiqueECS</v>
      </c>
      <c r="C3794" s="148" t="s">
        <v>489</v>
      </c>
      <c r="D3794" s="148" t="s">
        <v>245</v>
      </c>
      <c r="E3794" s="148">
        <v>132324.70588235999</v>
      </c>
      <c r="F3794" s="148" t="s">
        <v>37</v>
      </c>
    </row>
    <row r="3795" spans="1:6" ht="15.75">
      <c r="A3795" t="str">
        <f t="shared" ref="A3795:A3858" si="59">_xlfn.CONCAT(C3795,D3795,F3795)</f>
        <v>Lavey-MorclesBoisECS</v>
      </c>
      <c r="C3795" s="148" t="s">
        <v>489</v>
      </c>
      <c r="D3795" s="148" t="s">
        <v>66</v>
      </c>
      <c r="E3795" s="148">
        <v>71429.866666679998</v>
      </c>
      <c r="F3795" s="148" t="s">
        <v>37</v>
      </c>
    </row>
    <row r="3796" spans="1:6" ht="15.75">
      <c r="A3796" t="str">
        <f t="shared" si="59"/>
        <v>Lavey-MorclesElectricitéECS</v>
      </c>
      <c r="C3796" s="148" t="s">
        <v>489</v>
      </c>
      <c r="D3796" s="148" t="s">
        <v>97</v>
      </c>
      <c r="E3796" s="148">
        <v>168163.95555553999</v>
      </c>
      <c r="F3796" s="148" t="s">
        <v>37</v>
      </c>
    </row>
    <row r="3797" spans="1:6" ht="15.75">
      <c r="A3797" t="str">
        <f t="shared" si="59"/>
        <v>Lavey-MorclesGazECS</v>
      </c>
      <c r="C3797" s="148" t="s">
        <v>489</v>
      </c>
      <c r="D3797" s="148" t="s">
        <v>239</v>
      </c>
      <c r="E3797" s="148">
        <v>555071.0959079098</v>
      </c>
      <c r="F3797" s="148" t="s">
        <v>37</v>
      </c>
    </row>
    <row r="3798" spans="1:6" ht="15.75">
      <c r="A3798" t="str">
        <f t="shared" si="59"/>
        <v>Lavey-MorclesMazoutECS</v>
      </c>
      <c r="C3798" s="148" t="s">
        <v>489</v>
      </c>
      <c r="D3798" s="148" t="s">
        <v>70</v>
      </c>
      <c r="E3798" s="148">
        <v>485291.88235297002</v>
      </c>
      <c r="F3798" s="148" t="s">
        <v>37</v>
      </c>
    </row>
    <row r="3799" spans="1:6" ht="15.75">
      <c r="A3799" t="str">
        <f t="shared" si="59"/>
        <v>Lavey-MorclesNon renseignéECS</v>
      </c>
      <c r="C3799" s="148" t="s">
        <v>489</v>
      </c>
      <c r="D3799" s="148" t="s">
        <v>696</v>
      </c>
      <c r="E3799" s="148">
        <v>0</v>
      </c>
      <c r="F3799" s="148" t="s">
        <v>37</v>
      </c>
    </row>
    <row r="3800" spans="1:6" ht="15.75">
      <c r="A3800" t="str">
        <f t="shared" si="59"/>
        <v>Lavey-MorclesPACECS</v>
      </c>
      <c r="C3800" s="148" t="s">
        <v>489</v>
      </c>
      <c r="D3800" s="148" t="s">
        <v>69</v>
      </c>
      <c r="E3800" s="148">
        <v>25811.772079769999</v>
      </c>
      <c r="F3800" s="148" t="s">
        <v>37</v>
      </c>
    </row>
    <row r="3801" spans="1:6" ht="15.75">
      <c r="A3801" t="str">
        <f t="shared" si="59"/>
        <v>Lavey-MorclesSolaireECS</v>
      </c>
      <c r="C3801" s="148" t="s">
        <v>489</v>
      </c>
      <c r="D3801" s="148" t="s">
        <v>240</v>
      </c>
      <c r="E3801" s="148">
        <v>39008.199999999997</v>
      </c>
      <c r="F3801" s="148" t="s">
        <v>37</v>
      </c>
    </row>
    <row r="3802" spans="1:6" ht="15.75">
      <c r="A3802" t="str">
        <f t="shared" si="59"/>
        <v>LavignyBoisECS</v>
      </c>
      <c r="C3802" s="148" t="s">
        <v>490</v>
      </c>
      <c r="D3802" s="148" t="s">
        <v>66</v>
      </c>
      <c r="E3802" s="148">
        <v>28603.306666670003</v>
      </c>
      <c r="F3802" s="148" t="s">
        <v>37</v>
      </c>
    </row>
    <row r="3803" spans="1:6" ht="15.75">
      <c r="A3803" t="str">
        <f t="shared" si="59"/>
        <v>LavignyCADECS</v>
      </c>
      <c r="C3803" s="148" t="s">
        <v>490</v>
      </c>
      <c r="D3803" s="148" t="s">
        <v>242</v>
      </c>
      <c r="E3803" s="148">
        <v>4258.2400000000007</v>
      </c>
      <c r="F3803" s="148" t="s">
        <v>37</v>
      </c>
    </row>
    <row r="3804" spans="1:6" ht="15.75">
      <c r="A3804" t="str">
        <f t="shared" si="59"/>
        <v>LavignyElectricitéECS</v>
      </c>
      <c r="C3804" s="148" t="s">
        <v>490</v>
      </c>
      <c r="D3804" s="148" t="s">
        <v>97</v>
      </c>
      <c r="E3804" s="148">
        <v>151816</v>
      </c>
      <c r="F3804" s="148" t="s">
        <v>37</v>
      </c>
    </row>
    <row r="3805" spans="1:6" ht="15.75">
      <c r="A3805" t="str">
        <f t="shared" si="59"/>
        <v>LavignyGazECS</v>
      </c>
      <c r="C3805" s="148" t="s">
        <v>490</v>
      </c>
      <c r="D3805" s="148" t="s">
        <v>239</v>
      </c>
      <c r="E3805" s="148">
        <v>557831.43222509988</v>
      </c>
      <c r="F3805" s="148" t="s">
        <v>37</v>
      </c>
    </row>
    <row r="3806" spans="1:6" ht="15.75">
      <c r="A3806" t="str">
        <f t="shared" si="59"/>
        <v>LavignyMazoutECS</v>
      </c>
      <c r="C3806" s="148" t="s">
        <v>490</v>
      </c>
      <c r="D3806" s="148" t="s">
        <v>70</v>
      </c>
      <c r="E3806" s="148">
        <v>450800.94117648999</v>
      </c>
      <c r="F3806" s="148" t="s">
        <v>37</v>
      </c>
    </row>
    <row r="3807" spans="1:6" ht="15.75">
      <c r="A3807" t="str">
        <f t="shared" si="59"/>
        <v>LavignyNon renseignéECS</v>
      </c>
      <c r="C3807" s="148" t="s">
        <v>490</v>
      </c>
      <c r="D3807" s="148" t="s">
        <v>696</v>
      </c>
      <c r="E3807" s="148">
        <v>0</v>
      </c>
      <c r="F3807" s="148" t="s">
        <v>37</v>
      </c>
    </row>
    <row r="3808" spans="1:6" ht="15.75">
      <c r="A3808" t="str">
        <f t="shared" si="59"/>
        <v>LavignyPACECS</v>
      </c>
      <c r="C3808" s="148" t="s">
        <v>490</v>
      </c>
      <c r="D3808" s="148" t="s">
        <v>69</v>
      </c>
      <c r="E3808" s="148">
        <v>57081.712870080002</v>
      </c>
      <c r="F3808" s="148" t="s">
        <v>37</v>
      </c>
    </row>
    <row r="3809" spans="1:6" ht="15.75">
      <c r="A3809" t="str">
        <f t="shared" si="59"/>
        <v>LavignySolaireECS</v>
      </c>
      <c r="C3809" s="148" t="s">
        <v>490</v>
      </c>
      <c r="D3809" s="148" t="s">
        <v>240</v>
      </c>
      <c r="E3809" s="148">
        <v>99806</v>
      </c>
      <c r="F3809" s="148" t="s">
        <v>37</v>
      </c>
    </row>
    <row r="3810" spans="1:6" ht="15.75">
      <c r="A3810" t="str">
        <f t="shared" si="59"/>
        <v>Le ChenitAutre agent énergétiqueECS</v>
      </c>
      <c r="C3810" s="148" t="s">
        <v>491</v>
      </c>
      <c r="D3810" s="148" t="s">
        <v>245</v>
      </c>
      <c r="E3810" s="148">
        <v>34782.588235299998</v>
      </c>
      <c r="F3810" s="148" t="s">
        <v>37</v>
      </c>
    </row>
    <row r="3811" spans="1:6" ht="15.75">
      <c r="A3811" t="str">
        <f t="shared" si="59"/>
        <v>Le ChenitBoisECS</v>
      </c>
      <c r="C3811" s="148" t="s">
        <v>491</v>
      </c>
      <c r="D3811" s="148" t="s">
        <v>66</v>
      </c>
      <c r="E3811" s="148">
        <v>799825.16078434</v>
      </c>
      <c r="F3811" s="148" t="s">
        <v>37</v>
      </c>
    </row>
    <row r="3812" spans="1:6" ht="15.75">
      <c r="A3812" t="str">
        <f t="shared" si="59"/>
        <v>Le ChenitCADECS</v>
      </c>
      <c r="C3812" s="148" t="s">
        <v>491</v>
      </c>
      <c r="D3812" s="148" t="s">
        <v>242</v>
      </c>
      <c r="E3812" s="148">
        <v>1099826.5999999999</v>
      </c>
      <c r="F3812" s="148" t="s">
        <v>37</v>
      </c>
    </row>
    <row r="3813" spans="1:6" ht="15.75">
      <c r="A3813" t="str">
        <f t="shared" si="59"/>
        <v>Le ChenitElectricitéECS</v>
      </c>
      <c r="C3813" s="148" t="s">
        <v>491</v>
      </c>
      <c r="D3813" s="148" t="s">
        <v>97</v>
      </c>
      <c r="E3813" s="148">
        <v>1473028.6666666593</v>
      </c>
      <c r="F3813" s="148" t="s">
        <v>37</v>
      </c>
    </row>
    <row r="3814" spans="1:6" ht="15.75">
      <c r="A3814" t="str">
        <f t="shared" si="59"/>
        <v>Le ChenitGazECS</v>
      </c>
      <c r="C3814" s="148" t="s">
        <v>491</v>
      </c>
      <c r="D3814" s="148" t="s">
        <v>239</v>
      </c>
      <c r="E3814" s="148">
        <v>269206.71611251007</v>
      </c>
      <c r="F3814" s="148" t="s">
        <v>37</v>
      </c>
    </row>
    <row r="3815" spans="1:6" ht="15.75">
      <c r="A3815" t="str">
        <f t="shared" si="59"/>
        <v>Le ChenitMazoutECS</v>
      </c>
      <c r="C3815" s="148" t="s">
        <v>491</v>
      </c>
      <c r="D3815" s="148" t="s">
        <v>70</v>
      </c>
      <c r="E3815" s="148">
        <v>5821719.6470587412</v>
      </c>
      <c r="F3815" s="148" t="s">
        <v>37</v>
      </c>
    </row>
    <row r="3816" spans="1:6" ht="15.75">
      <c r="A3816" t="str">
        <f t="shared" si="59"/>
        <v>Le ChenitNon renseignéECS</v>
      </c>
      <c r="C3816" s="148" t="s">
        <v>491</v>
      </c>
      <c r="D3816" s="148" t="s">
        <v>696</v>
      </c>
      <c r="E3816" s="148">
        <v>0</v>
      </c>
      <c r="F3816" s="148" t="s">
        <v>37</v>
      </c>
    </row>
    <row r="3817" spans="1:6" ht="15.75">
      <c r="A3817" t="str">
        <f t="shared" si="59"/>
        <v>Le ChenitPACECS</v>
      </c>
      <c r="C3817" s="148" t="s">
        <v>491</v>
      </c>
      <c r="D3817" s="148" t="s">
        <v>69</v>
      </c>
      <c r="E3817" s="148">
        <v>69172.509562770021</v>
      </c>
      <c r="F3817" s="148" t="s">
        <v>37</v>
      </c>
    </row>
    <row r="3818" spans="1:6" ht="15.75">
      <c r="A3818" t="str">
        <f t="shared" si="59"/>
        <v>Le ChenitSolaireECS</v>
      </c>
      <c r="C3818" s="148" t="s">
        <v>491</v>
      </c>
      <c r="D3818" s="148" t="s">
        <v>240</v>
      </c>
      <c r="E3818" s="148">
        <v>331417.09999999998</v>
      </c>
      <c r="F3818" s="148" t="s">
        <v>37</v>
      </c>
    </row>
    <row r="3819" spans="1:6" ht="15.75">
      <c r="A3819" t="str">
        <f t="shared" si="59"/>
        <v>Le LieuAutre agent énergétiqueECS</v>
      </c>
      <c r="C3819" s="148" t="s">
        <v>492</v>
      </c>
      <c r="D3819" s="148" t="s">
        <v>245</v>
      </c>
      <c r="E3819" s="148">
        <v>764.23529412000005</v>
      </c>
      <c r="F3819" s="148" t="s">
        <v>37</v>
      </c>
    </row>
    <row r="3820" spans="1:6" ht="15.75">
      <c r="A3820" t="str">
        <f t="shared" si="59"/>
        <v>Le LieuBoisECS</v>
      </c>
      <c r="C3820" s="148" t="s">
        <v>492</v>
      </c>
      <c r="D3820" s="148" t="s">
        <v>66</v>
      </c>
      <c r="E3820" s="148">
        <v>297817.70666669001</v>
      </c>
      <c r="F3820" s="148" t="s">
        <v>37</v>
      </c>
    </row>
    <row r="3821" spans="1:6" ht="15.75">
      <c r="A3821" t="str">
        <f t="shared" si="59"/>
        <v>Le LieuCADECS</v>
      </c>
      <c r="C3821" s="148" t="s">
        <v>492</v>
      </c>
      <c r="D3821" s="148" t="s">
        <v>242</v>
      </c>
      <c r="E3821" s="148">
        <v>60851</v>
      </c>
      <c r="F3821" s="148" t="s">
        <v>37</v>
      </c>
    </row>
    <row r="3822" spans="1:6" ht="15.75">
      <c r="A3822" t="str">
        <f t="shared" si="59"/>
        <v>Le LieuElectricitéECS</v>
      </c>
      <c r="C3822" s="148" t="s">
        <v>492</v>
      </c>
      <c r="D3822" s="148" t="s">
        <v>97</v>
      </c>
      <c r="E3822" s="148">
        <v>368185.68888892996</v>
      </c>
      <c r="F3822" s="148" t="s">
        <v>37</v>
      </c>
    </row>
    <row r="3823" spans="1:6" ht="15.75">
      <c r="A3823" t="str">
        <f t="shared" si="59"/>
        <v>Le LieuGazECS</v>
      </c>
      <c r="C3823" s="148" t="s">
        <v>492</v>
      </c>
      <c r="D3823" s="148" t="s">
        <v>239</v>
      </c>
      <c r="E3823" s="148">
        <v>26800.941176460001</v>
      </c>
      <c r="F3823" s="148" t="s">
        <v>37</v>
      </c>
    </row>
    <row r="3824" spans="1:6" ht="15.75">
      <c r="A3824" t="str">
        <f t="shared" si="59"/>
        <v>Le LieuMazoutECS</v>
      </c>
      <c r="C3824" s="148" t="s">
        <v>492</v>
      </c>
      <c r="D3824" s="148" t="s">
        <v>70</v>
      </c>
      <c r="E3824" s="148">
        <v>1358392.82352946</v>
      </c>
      <c r="F3824" s="148" t="s">
        <v>37</v>
      </c>
    </row>
    <row r="3825" spans="1:6" ht="15.75">
      <c r="A3825" t="str">
        <f t="shared" si="59"/>
        <v>Le LieuNon renseignéECS</v>
      </c>
      <c r="C3825" s="148" t="s">
        <v>492</v>
      </c>
      <c r="D3825" s="148" t="s">
        <v>696</v>
      </c>
      <c r="E3825" s="148">
        <v>0</v>
      </c>
      <c r="F3825" s="148" t="s">
        <v>37</v>
      </c>
    </row>
    <row r="3826" spans="1:6" ht="15.75">
      <c r="A3826" t="str">
        <f t="shared" si="59"/>
        <v>Le LieuPACECS</v>
      </c>
      <c r="C3826" s="148" t="s">
        <v>492</v>
      </c>
      <c r="D3826" s="148" t="s">
        <v>69</v>
      </c>
      <c r="E3826" s="148">
        <v>6681.5351170499998</v>
      </c>
      <c r="F3826" s="148" t="s">
        <v>37</v>
      </c>
    </row>
    <row r="3827" spans="1:6" ht="15.75">
      <c r="A3827" t="str">
        <f t="shared" si="59"/>
        <v>Le LieuSolaireECS</v>
      </c>
      <c r="C3827" s="148" t="s">
        <v>492</v>
      </c>
      <c r="D3827" s="148" t="s">
        <v>240</v>
      </c>
      <c r="E3827" s="148">
        <v>65375.799999999988</v>
      </c>
      <c r="F3827" s="148" t="s">
        <v>37</v>
      </c>
    </row>
    <row r="3828" spans="1:6" ht="15.75">
      <c r="A3828" t="str">
        <f t="shared" si="59"/>
        <v>Le Mont-sur-LausanneAutre agent énergétiqueECS</v>
      </c>
      <c r="C3828" s="148" t="s">
        <v>689</v>
      </c>
      <c r="D3828" s="148" t="s">
        <v>245</v>
      </c>
      <c r="E3828" s="148">
        <v>9193.8823529500005</v>
      </c>
      <c r="F3828" s="148" t="s">
        <v>37</v>
      </c>
    </row>
    <row r="3829" spans="1:6" ht="15.75">
      <c r="A3829" t="str">
        <f t="shared" si="59"/>
        <v>Le Mont-sur-LausanneBoisECS</v>
      </c>
      <c r="C3829" s="148" t="s">
        <v>689</v>
      </c>
      <c r="D3829" s="148" t="s">
        <v>66</v>
      </c>
      <c r="E3829" s="148">
        <v>1959687.5199999991</v>
      </c>
      <c r="F3829" s="148" t="s">
        <v>37</v>
      </c>
    </row>
    <row r="3830" spans="1:6" ht="15.75">
      <c r="A3830" t="str">
        <f t="shared" si="59"/>
        <v>Le Mont-sur-LausanneCADECS</v>
      </c>
      <c r="C3830" s="148" t="s">
        <v>689</v>
      </c>
      <c r="D3830" s="148" t="s">
        <v>242</v>
      </c>
      <c r="E3830" s="148">
        <v>1134457.1000000001</v>
      </c>
      <c r="F3830" s="148" t="s">
        <v>37</v>
      </c>
    </row>
    <row r="3831" spans="1:6" ht="15.75">
      <c r="A3831" t="str">
        <f t="shared" si="59"/>
        <v>Le Mont-sur-LausanneCharbonECS</v>
      </c>
      <c r="C3831" s="148" t="s">
        <v>689</v>
      </c>
      <c r="D3831" s="148" t="s">
        <v>695</v>
      </c>
      <c r="E3831" s="148" t="e">
        <v>#N/A</v>
      </c>
      <c r="F3831" s="148" t="s">
        <v>37</v>
      </c>
    </row>
    <row r="3832" spans="1:6" ht="15.75">
      <c r="A3832" t="str">
        <f t="shared" si="59"/>
        <v>Le Mont-sur-LausanneElectricitéECS</v>
      </c>
      <c r="C3832" s="148" t="s">
        <v>689</v>
      </c>
      <c r="D3832" s="148" t="s">
        <v>97</v>
      </c>
      <c r="E3832" s="148">
        <v>1369816.9333333601</v>
      </c>
      <c r="F3832" s="148" t="s">
        <v>37</v>
      </c>
    </row>
    <row r="3833" spans="1:6" ht="15.75">
      <c r="A3833" t="str">
        <f t="shared" si="59"/>
        <v>Le Mont-sur-LausanneGazECS</v>
      </c>
      <c r="C3833" s="148" t="s">
        <v>689</v>
      </c>
      <c r="D3833" s="148" t="s">
        <v>239</v>
      </c>
      <c r="E3833" s="148">
        <v>4350517.9636829514</v>
      </c>
      <c r="F3833" s="148" t="s">
        <v>37</v>
      </c>
    </row>
    <row r="3834" spans="1:6" ht="15.75">
      <c r="A3834" t="str">
        <f t="shared" si="59"/>
        <v>Le Mont-sur-LausanneMazoutECS</v>
      </c>
      <c r="C3834" s="148" t="s">
        <v>689</v>
      </c>
      <c r="D3834" s="148" t="s">
        <v>70</v>
      </c>
      <c r="E3834" s="148">
        <v>4042854.6823530239</v>
      </c>
      <c r="F3834" s="148" t="s">
        <v>37</v>
      </c>
    </row>
    <row r="3835" spans="1:6" ht="15.75">
      <c r="A3835" t="str">
        <f t="shared" si="59"/>
        <v>Le Mont-sur-LausanneNon renseignéECS</v>
      </c>
      <c r="C3835" s="148" t="s">
        <v>689</v>
      </c>
      <c r="D3835" s="148" t="s">
        <v>696</v>
      </c>
      <c r="E3835" s="148">
        <v>0</v>
      </c>
      <c r="F3835" s="148" t="s">
        <v>37</v>
      </c>
    </row>
    <row r="3836" spans="1:6" ht="15.75">
      <c r="A3836" t="str">
        <f t="shared" si="59"/>
        <v>Le Mont-sur-LausannePACECS</v>
      </c>
      <c r="C3836" s="148" t="s">
        <v>689</v>
      </c>
      <c r="D3836" s="148" t="s">
        <v>69</v>
      </c>
      <c r="E3836" s="148">
        <v>270806.36492013995</v>
      </c>
      <c r="F3836" s="148" t="s">
        <v>37</v>
      </c>
    </row>
    <row r="3837" spans="1:6" ht="15.75">
      <c r="A3837" t="str">
        <f t="shared" si="59"/>
        <v>Le Mont-sur-LausanneSolaireECS</v>
      </c>
      <c r="C3837" s="148" t="s">
        <v>689</v>
      </c>
      <c r="D3837" s="148" t="s">
        <v>240</v>
      </c>
      <c r="E3837" s="148">
        <v>967881.59999999963</v>
      </c>
      <c r="F3837" s="148" t="s">
        <v>37</v>
      </c>
    </row>
    <row r="3838" spans="1:6" ht="15.75">
      <c r="A3838" t="str">
        <f t="shared" si="59"/>
        <v>Le VaudBoisECS</v>
      </c>
      <c r="C3838" s="148" t="s">
        <v>244</v>
      </c>
      <c r="D3838" s="148" t="s">
        <v>66</v>
      </c>
      <c r="E3838" s="148">
        <v>119113.00392156999</v>
      </c>
      <c r="F3838" s="148" t="s">
        <v>37</v>
      </c>
    </row>
    <row r="3839" spans="1:6" ht="15.75">
      <c r="A3839" t="str">
        <f t="shared" si="59"/>
        <v>Le VaudCADECS</v>
      </c>
      <c r="C3839" s="148" t="s">
        <v>244</v>
      </c>
      <c r="D3839" s="148" t="s">
        <v>242</v>
      </c>
      <c r="E3839" s="148" t="e">
        <v>#N/A</v>
      </c>
      <c r="F3839" s="148" t="s">
        <v>37</v>
      </c>
    </row>
    <row r="3840" spans="1:6" ht="15.75">
      <c r="A3840" t="str">
        <f t="shared" si="59"/>
        <v>Le VaudElectricitéECS</v>
      </c>
      <c r="C3840" s="148" t="s">
        <v>244</v>
      </c>
      <c r="D3840" s="148" t="s">
        <v>97</v>
      </c>
      <c r="E3840" s="148">
        <v>558356.08888890035</v>
      </c>
      <c r="F3840" s="148" t="s">
        <v>37</v>
      </c>
    </row>
    <row r="3841" spans="1:6" ht="15.75">
      <c r="A3841" t="str">
        <f t="shared" si="59"/>
        <v>Le VaudGazECS</v>
      </c>
      <c r="C3841" s="148" t="s">
        <v>244</v>
      </c>
      <c r="D3841" s="148" t="s">
        <v>239</v>
      </c>
      <c r="E3841" s="148">
        <v>15942.383631709999</v>
      </c>
      <c r="F3841" s="148" t="s">
        <v>37</v>
      </c>
    </row>
    <row r="3842" spans="1:6" ht="15.75">
      <c r="A3842" t="str">
        <f t="shared" si="59"/>
        <v>Le VaudMazoutECS</v>
      </c>
      <c r="C3842" s="148" t="s">
        <v>244</v>
      </c>
      <c r="D3842" s="148" t="s">
        <v>70</v>
      </c>
      <c r="E3842" s="148">
        <v>647093.17647059972</v>
      </c>
      <c r="F3842" s="148" t="s">
        <v>37</v>
      </c>
    </row>
    <row r="3843" spans="1:6" ht="15.75">
      <c r="A3843" t="str">
        <f t="shared" si="59"/>
        <v>Le VaudNon renseignéECS</v>
      </c>
      <c r="C3843" s="148" t="s">
        <v>244</v>
      </c>
      <c r="D3843" s="148" t="s">
        <v>696</v>
      </c>
      <c r="E3843" s="148">
        <v>0</v>
      </c>
      <c r="F3843" s="148" t="s">
        <v>37</v>
      </c>
    </row>
    <row r="3844" spans="1:6" ht="15.75">
      <c r="A3844" t="str">
        <f t="shared" si="59"/>
        <v>Le VaudPACECS</v>
      </c>
      <c r="C3844" s="148" t="s">
        <v>244</v>
      </c>
      <c r="D3844" s="148" t="s">
        <v>69</v>
      </c>
      <c r="E3844" s="148">
        <v>29273.686114219989</v>
      </c>
      <c r="F3844" s="148" t="s">
        <v>37</v>
      </c>
    </row>
    <row r="3845" spans="1:6" ht="15.75">
      <c r="A3845" t="str">
        <f t="shared" si="59"/>
        <v>Le VaudSolaireECS</v>
      </c>
      <c r="C3845" s="148" t="s">
        <v>244</v>
      </c>
      <c r="D3845" s="148" t="s">
        <v>240</v>
      </c>
      <c r="E3845" s="148">
        <v>123592.00000000001</v>
      </c>
      <c r="F3845" s="148" t="s">
        <v>37</v>
      </c>
    </row>
    <row r="3846" spans="1:6" ht="15.75">
      <c r="A3846" t="str">
        <f t="shared" si="59"/>
        <v>Le VaudAutre agent énergétiqueECS</v>
      </c>
      <c r="C3846" s="148" t="s">
        <v>244</v>
      </c>
      <c r="D3846" s="148" t="s">
        <v>245</v>
      </c>
      <c r="E3846" s="148">
        <v>4269.1764705799997</v>
      </c>
      <c r="F3846" s="148" t="s">
        <v>37</v>
      </c>
    </row>
    <row r="3847" spans="1:6" ht="15.75">
      <c r="A3847" t="str">
        <f t="shared" si="59"/>
        <v>Les CléesBoisECS</v>
      </c>
      <c r="C3847" s="148" t="s">
        <v>636</v>
      </c>
      <c r="D3847" s="148" t="s">
        <v>66</v>
      </c>
      <c r="E3847" s="148">
        <v>63235.199999999997</v>
      </c>
      <c r="F3847" s="148" t="s">
        <v>37</v>
      </c>
    </row>
    <row r="3848" spans="1:6" ht="15.75">
      <c r="A3848" t="str">
        <f t="shared" si="59"/>
        <v>Les CléesElectricitéECS</v>
      </c>
      <c r="C3848" s="148" t="s">
        <v>636</v>
      </c>
      <c r="D3848" s="148" t="s">
        <v>97</v>
      </c>
      <c r="E3848" s="148">
        <v>95424</v>
      </c>
      <c r="F3848" s="148" t="s">
        <v>37</v>
      </c>
    </row>
    <row r="3849" spans="1:6" ht="15.75">
      <c r="A3849" t="str">
        <f t="shared" si="59"/>
        <v>Les CléesGazECS</v>
      </c>
      <c r="C3849" s="148" t="s">
        <v>636</v>
      </c>
      <c r="D3849" s="148" t="s">
        <v>239</v>
      </c>
      <c r="E3849" s="148">
        <v>65078.874680310008</v>
      </c>
      <c r="F3849" s="148" t="s">
        <v>37</v>
      </c>
    </row>
    <row r="3850" spans="1:6" ht="15.75">
      <c r="A3850" t="str">
        <f t="shared" si="59"/>
        <v>Les CléesMazoutECS</v>
      </c>
      <c r="C3850" s="148" t="s">
        <v>636</v>
      </c>
      <c r="D3850" s="148" t="s">
        <v>70</v>
      </c>
      <c r="E3850" s="148">
        <v>130921.41176469001</v>
      </c>
      <c r="F3850" s="148" t="s">
        <v>37</v>
      </c>
    </row>
    <row r="3851" spans="1:6" ht="15.75">
      <c r="A3851" t="str">
        <f t="shared" si="59"/>
        <v>Les CléesNon renseignéECS</v>
      </c>
      <c r="C3851" s="148" t="s">
        <v>636</v>
      </c>
      <c r="D3851" s="148" t="s">
        <v>696</v>
      </c>
      <c r="E3851" s="148">
        <v>0</v>
      </c>
      <c r="F3851" s="148" t="s">
        <v>37</v>
      </c>
    </row>
    <row r="3852" spans="1:6" ht="15.75">
      <c r="A3852" t="str">
        <f t="shared" si="59"/>
        <v>Les CléesPACECS</v>
      </c>
      <c r="C3852" s="148" t="s">
        <v>636</v>
      </c>
      <c r="D3852" s="148" t="s">
        <v>69</v>
      </c>
      <c r="E3852" s="148">
        <v>2131.8394648799999</v>
      </c>
      <c r="F3852" s="148" t="s">
        <v>37</v>
      </c>
    </row>
    <row r="3853" spans="1:6" ht="15.75">
      <c r="A3853" t="str">
        <f t="shared" si="59"/>
        <v>Les CléesSolaireECS</v>
      </c>
      <c r="C3853" s="148" t="s">
        <v>636</v>
      </c>
      <c r="D3853" s="148" t="s">
        <v>240</v>
      </c>
      <c r="E3853" s="148">
        <v>6729.8</v>
      </c>
      <c r="F3853" s="148" t="s">
        <v>37</v>
      </c>
    </row>
    <row r="3854" spans="1:6" ht="15.75">
      <c r="A3854" t="str">
        <f t="shared" si="59"/>
        <v>LeysinAutre agent énergétiqueECS</v>
      </c>
      <c r="C3854" s="148" t="s">
        <v>493</v>
      </c>
      <c r="D3854" s="148" t="s">
        <v>245</v>
      </c>
      <c r="E3854" s="148">
        <v>6502.5882352899998</v>
      </c>
      <c r="F3854" s="148" t="s">
        <v>37</v>
      </c>
    </row>
    <row r="3855" spans="1:6" ht="15.75">
      <c r="A3855" t="str">
        <f t="shared" si="59"/>
        <v>LeysinBoisECS</v>
      </c>
      <c r="C3855" s="148" t="s">
        <v>493</v>
      </c>
      <c r="D3855" s="148" t="s">
        <v>66</v>
      </c>
      <c r="E3855" s="148">
        <v>474495.88392157998</v>
      </c>
      <c r="F3855" s="148" t="s">
        <v>37</v>
      </c>
    </row>
    <row r="3856" spans="1:6" ht="15.75">
      <c r="A3856" t="str">
        <f t="shared" si="59"/>
        <v>LeysinCADECS</v>
      </c>
      <c r="C3856" s="148" t="s">
        <v>493</v>
      </c>
      <c r="D3856" s="148" t="s">
        <v>242</v>
      </c>
      <c r="E3856" s="148">
        <v>4590.6000000000004</v>
      </c>
      <c r="F3856" s="148" t="s">
        <v>37</v>
      </c>
    </row>
    <row r="3857" spans="1:6" ht="15.75">
      <c r="A3857" t="str">
        <f t="shared" si="59"/>
        <v>LeysinElectricitéECS</v>
      </c>
      <c r="C3857" s="148" t="s">
        <v>493</v>
      </c>
      <c r="D3857" s="148" t="s">
        <v>97</v>
      </c>
      <c r="E3857" s="148">
        <v>784108.8888889096</v>
      </c>
      <c r="F3857" s="148" t="s">
        <v>37</v>
      </c>
    </row>
    <row r="3858" spans="1:6" ht="15.75">
      <c r="A3858" t="str">
        <f t="shared" si="59"/>
        <v>LeysinGazECS</v>
      </c>
      <c r="C3858" s="148" t="s">
        <v>493</v>
      </c>
      <c r="D3858" s="148" t="s">
        <v>239</v>
      </c>
      <c r="E3858" s="148">
        <v>5101411.2774936138</v>
      </c>
      <c r="F3858" s="148" t="s">
        <v>37</v>
      </c>
    </row>
    <row r="3859" spans="1:6" ht="15.75">
      <c r="A3859" t="str">
        <f t="shared" ref="A3859:A3922" si="60">_xlfn.CONCAT(C3859,D3859,F3859)</f>
        <v>LeysinMazoutECS</v>
      </c>
      <c r="C3859" s="148" t="s">
        <v>493</v>
      </c>
      <c r="D3859" s="148" t="s">
        <v>70</v>
      </c>
      <c r="E3859" s="148">
        <v>1531910.6352941103</v>
      </c>
      <c r="F3859" s="148" t="s">
        <v>37</v>
      </c>
    </row>
    <row r="3860" spans="1:6" ht="15.75">
      <c r="A3860" t="str">
        <f t="shared" si="60"/>
        <v>LeysinNon renseignéECS</v>
      </c>
      <c r="C3860" s="148" t="s">
        <v>493</v>
      </c>
      <c r="D3860" s="148" t="s">
        <v>696</v>
      </c>
      <c r="E3860" s="148">
        <v>0</v>
      </c>
      <c r="F3860" s="148" t="s">
        <v>37</v>
      </c>
    </row>
    <row r="3861" spans="1:6" ht="15.75">
      <c r="A3861" t="str">
        <f t="shared" si="60"/>
        <v>LeysinPACECS</v>
      </c>
      <c r="C3861" s="148" t="s">
        <v>493</v>
      </c>
      <c r="D3861" s="148" t="s">
        <v>69</v>
      </c>
      <c r="E3861" s="148">
        <v>3733.2709030099995</v>
      </c>
      <c r="F3861" s="148" t="s">
        <v>37</v>
      </c>
    </row>
    <row r="3862" spans="1:6" ht="15.75">
      <c r="A3862" t="str">
        <f t="shared" si="60"/>
        <v>LeysinSolaireECS</v>
      </c>
      <c r="C3862" s="148" t="s">
        <v>493</v>
      </c>
      <c r="D3862" s="148" t="s">
        <v>240</v>
      </c>
      <c r="E3862" s="148">
        <v>510752.43529411993</v>
      </c>
      <c r="F3862" s="148" t="s">
        <v>37</v>
      </c>
    </row>
    <row r="3863" spans="1:6" ht="15.75">
      <c r="A3863" t="str">
        <f t="shared" si="60"/>
        <v>LeysinCharbonECS</v>
      </c>
      <c r="C3863" s="148" t="s">
        <v>493</v>
      </c>
      <c r="D3863" s="148" t="s">
        <v>695</v>
      </c>
      <c r="E3863" s="148" t="e">
        <v>#N/A</v>
      </c>
      <c r="F3863" s="148" t="s">
        <v>37</v>
      </c>
    </row>
    <row r="3864" spans="1:6" ht="15.75">
      <c r="A3864" t="str">
        <f t="shared" si="60"/>
        <v>LignerolleAutre agent énergétiqueECS</v>
      </c>
      <c r="C3864" s="148" t="s">
        <v>494</v>
      </c>
      <c r="D3864" s="148" t="s">
        <v>245</v>
      </c>
      <c r="E3864" s="148">
        <v>2271.6235294100002</v>
      </c>
      <c r="F3864" s="148" t="s">
        <v>37</v>
      </c>
    </row>
    <row r="3865" spans="1:6" ht="15.75">
      <c r="A3865" t="str">
        <f t="shared" si="60"/>
        <v>LignerolleBoisECS</v>
      </c>
      <c r="C3865" s="148" t="s">
        <v>494</v>
      </c>
      <c r="D3865" s="148" t="s">
        <v>66</v>
      </c>
      <c r="E3865" s="148">
        <v>217102.99607844002</v>
      </c>
      <c r="F3865" s="148" t="s">
        <v>37</v>
      </c>
    </row>
    <row r="3866" spans="1:6" ht="15.75">
      <c r="A3866" t="str">
        <f t="shared" si="60"/>
        <v>LignerolleElectricitéECS</v>
      </c>
      <c r="C3866" s="148" t="s">
        <v>494</v>
      </c>
      <c r="D3866" s="148" t="s">
        <v>97</v>
      </c>
      <c r="E3866" s="148">
        <v>94876.444444449997</v>
      </c>
      <c r="F3866" s="148" t="s">
        <v>37</v>
      </c>
    </row>
    <row r="3867" spans="1:6" ht="15.75">
      <c r="A3867" t="str">
        <f t="shared" si="60"/>
        <v>LignerolleGazECS</v>
      </c>
      <c r="C3867" s="148" t="s">
        <v>494</v>
      </c>
      <c r="D3867" s="148" t="s">
        <v>239</v>
      </c>
      <c r="E3867" s="148">
        <v>153940.41943733001</v>
      </c>
      <c r="F3867" s="148" t="s">
        <v>37</v>
      </c>
    </row>
    <row r="3868" spans="1:6" ht="15.75">
      <c r="A3868" t="str">
        <f t="shared" si="60"/>
        <v>LignerolleMazoutECS</v>
      </c>
      <c r="C3868" s="148" t="s">
        <v>494</v>
      </c>
      <c r="D3868" s="148" t="s">
        <v>70</v>
      </c>
      <c r="E3868" s="148">
        <v>355731.76470589999</v>
      </c>
      <c r="F3868" s="148" t="s">
        <v>37</v>
      </c>
    </row>
    <row r="3869" spans="1:6" ht="15.75">
      <c r="A3869" t="str">
        <f t="shared" si="60"/>
        <v>LignerolleNon renseignéECS</v>
      </c>
      <c r="C3869" s="148" t="s">
        <v>494</v>
      </c>
      <c r="D3869" s="148" t="s">
        <v>696</v>
      </c>
      <c r="E3869" s="148">
        <v>0</v>
      </c>
      <c r="F3869" s="148" t="s">
        <v>37</v>
      </c>
    </row>
    <row r="3870" spans="1:6" ht="15.75">
      <c r="A3870" t="str">
        <f t="shared" si="60"/>
        <v>LignerollePACECS</v>
      </c>
      <c r="C3870" s="148" t="s">
        <v>494</v>
      </c>
      <c r="D3870" s="148" t="s">
        <v>69</v>
      </c>
      <c r="E3870" s="148">
        <v>2283.0769230800001</v>
      </c>
      <c r="F3870" s="148" t="s">
        <v>37</v>
      </c>
    </row>
    <row r="3871" spans="1:6" ht="15.75">
      <c r="A3871" t="str">
        <f t="shared" si="60"/>
        <v>LignerolleSolaireECS</v>
      </c>
      <c r="C3871" s="148" t="s">
        <v>494</v>
      </c>
      <c r="D3871" s="148" t="s">
        <v>240</v>
      </c>
      <c r="E3871" s="148">
        <v>37710.400000000001</v>
      </c>
      <c r="F3871" s="148" t="s">
        <v>37</v>
      </c>
    </row>
    <row r="3872" spans="1:6" ht="15.75">
      <c r="A3872" t="str">
        <f t="shared" si="60"/>
        <v>LonayAutre agent énergétiqueECS</v>
      </c>
      <c r="C3872" s="148" t="s">
        <v>495</v>
      </c>
      <c r="D3872" s="148" t="s">
        <v>245</v>
      </c>
      <c r="E3872" s="148">
        <v>691.76470587999995</v>
      </c>
      <c r="F3872" s="148" t="s">
        <v>37</v>
      </c>
    </row>
    <row r="3873" spans="1:6" ht="15.75">
      <c r="A3873" t="str">
        <f t="shared" si="60"/>
        <v>LonayBoisECS</v>
      </c>
      <c r="C3873" s="148" t="s">
        <v>495</v>
      </c>
      <c r="D3873" s="148" t="s">
        <v>66</v>
      </c>
      <c r="E3873" s="148">
        <v>41703.529411759999</v>
      </c>
      <c r="F3873" s="148" t="s">
        <v>37</v>
      </c>
    </row>
    <row r="3874" spans="1:6" ht="15.75">
      <c r="A3874" t="str">
        <f t="shared" si="60"/>
        <v>LonayCADECS</v>
      </c>
      <c r="C3874" s="148" t="s">
        <v>495</v>
      </c>
      <c r="D3874" s="148" t="s">
        <v>242</v>
      </c>
      <c r="E3874" s="148">
        <v>24228.400000000001</v>
      </c>
      <c r="F3874" s="148" t="s">
        <v>37</v>
      </c>
    </row>
    <row r="3875" spans="1:6" ht="15.75">
      <c r="A3875" t="str">
        <f t="shared" si="60"/>
        <v>LonayElectricitéECS</v>
      </c>
      <c r="C3875" s="148" t="s">
        <v>495</v>
      </c>
      <c r="D3875" s="148" t="s">
        <v>97</v>
      </c>
      <c r="E3875" s="148">
        <v>523055.48792274989</v>
      </c>
      <c r="F3875" s="148" t="s">
        <v>37</v>
      </c>
    </row>
    <row r="3876" spans="1:6" ht="15.75">
      <c r="A3876" t="str">
        <f t="shared" si="60"/>
        <v>LonayGazECS</v>
      </c>
      <c r="C3876" s="148" t="s">
        <v>495</v>
      </c>
      <c r="D3876" s="148" t="s">
        <v>239</v>
      </c>
      <c r="E3876" s="148">
        <v>1676317.8925831297</v>
      </c>
      <c r="F3876" s="148" t="s">
        <v>37</v>
      </c>
    </row>
    <row r="3877" spans="1:6" ht="15.75">
      <c r="A3877" t="str">
        <f t="shared" si="60"/>
        <v>LonayMazoutECS</v>
      </c>
      <c r="C3877" s="148" t="s">
        <v>495</v>
      </c>
      <c r="D3877" s="148" t="s">
        <v>70</v>
      </c>
      <c r="E3877" s="148">
        <v>1406833.64705888</v>
      </c>
      <c r="F3877" s="148" t="s">
        <v>37</v>
      </c>
    </row>
    <row r="3878" spans="1:6" ht="15.75">
      <c r="A3878" t="str">
        <f t="shared" si="60"/>
        <v>LonayNon renseignéECS</v>
      </c>
      <c r="C3878" s="148" t="s">
        <v>495</v>
      </c>
      <c r="D3878" s="148" t="s">
        <v>696</v>
      </c>
      <c r="E3878" s="148">
        <v>0</v>
      </c>
      <c r="F3878" s="148" t="s">
        <v>37</v>
      </c>
    </row>
    <row r="3879" spans="1:6" ht="15.75">
      <c r="A3879" t="str">
        <f t="shared" si="60"/>
        <v>LonayPACECS</v>
      </c>
      <c r="C3879" s="148" t="s">
        <v>495</v>
      </c>
      <c r="D3879" s="148" t="s">
        <v>69</v>
      </c>
      <c r="E3879" s="148">
        <v>39234.571225080006</v>
      </c>
      <c r="F3879" s="148" t="s">
        <v>37</v>
      </c>
    </row>
    <row r="3880" spans="1:6" ht="15.75">
      <c r="A3880" t="str">
        <f t="shared" si="60"/>
        <v>LonaySolaireECS</v>
      </c>
      <c r="C3880" s="148" t="s">
        <v>495</v>
      </c>
      <c r="D3880" s="148" t="s">
        <v>240</v>
      </c>
      <c r="E3880" s="148">
        <v>168756</v>
      </c>
      <c r="F3880" s="148" t="s">
        <v>37</v>
      </c>
    </row>
    <row r="3881" spans="1:6" ht="15.75">
      <c r="A3881" t="str">
        <f t="shared" si="60"/>
        <v>LongirodBoisECS</v>
      </c>
      <c r="C3881" s="148" t="s">
        <v>496</v>
      </c>
      <c r="D3881" s="148" t="s">
        <v>66</v>
      </c>
      <c r="E3881" s="148">
        <v>157199.46666665998</v>
      </c>
      <c r="F3881" s="148" t="s">
        <v>37</v>
      </c>
    </row>
    <row r="3882" spans="1:6" ht="15.75">
      <c r="A3882" t="str">
        <f t="shared" si="60"/>
        <v>LongirodCADECS</v>
      </c>
      <c r="C3882" s="148" t="s">
        <v>496</v>
      </c>
      <c r="D3882" s="148" t="s">
        <v>242</v>
      </c>
      <c r="E3882" s="148">
        <v>103481.00000000001</v>
      </c>
      <c r="F3882" s="148" t="s">
        <v>37</v>
      </c>
    </row>
    <row r="3883" spans="1:6" ht="15.75">
      <c r="A3883" t="str">
        <f t="shared" si="60"/>
        <v>LongirodElectricitéECS</v>
      </c>
      <c r="C3883" s="148" t="s">
        <v>496</v>
      </c>
      <c r="D3883" s="148" t="s">
        <v>97</v>
      </c>
      <c r="E3883" s="148">
        <v>229933.82222224004</v>
      </c>
      <c r="F3883" s="148" t="s">
        <v>37</v>
      </c>
    </row>
    <row r="3884" spans="1:6" ht="15.75">
      <c r="A3884" t="str">
        <f t="shared" si="60"/>
        <v>LongirodGazECS</v>
      </c>
      <c r="C3884" s="148" t="s">
        <v>496</v>
      </c>
      <c r="D3884" s="148" t="s">
        <v>239</v>
      </c>
      <c r="E3884" s="148">
        <v>47729.186700769998</v>
      </c>
      <c r="F3884" s="148" t="s">
        <v>37</v>
      </c>
    </row>
    <row r="3885" spans="1:6" ht="15.75">
      <c r="A3885" t="str">
        <f t="shared" si="60"/>
        <v>LongirodMazoutECS</v>
      </c>
      <c r="C3885" s="148" t="s">
        <v>496</v>
      </c>
      <c r="D3885" s="148" t="s">
        <v>70</v>
      </c>
      <c r="E3885" s="148">
        <v>274923.76470588997</v>
      </c>
      <c r="F3885" s="148" t="s">
        <v>37</v>
      </c>
    </row>
    <row r="3886" spans="1:6" ht="15.75">
      <c r="A3886" t="str">
        <f t="shared" si="60"/>
        <v>LongirodNon renseignéECS</v>
      </c>
      <c r="C3886" s="148" t="s">
        <v>496</v>
      </c>
      <c r="D3886" s="148" t="s">
        <v>696</v>
      </c>
      <c r="E3886" s="148">
        <v>0</v>
      </c>
      <c r="F3886" s="148" t="s">
        <v>37</v>
      </c>
    </row>
    <row r="3887" spans="1:6" ht="15.75">
      <c r="A3887" t="str">
        <f t="shared" si="60"/>
        <v>LongirodPACECS</v>
      </c>
      <c r="C3887" s="148" t="s">
        <v>496</v>
      </c>
      <c r="D3887" s="148" t="s">
        <v>69</v>
      </c>
      <c r="E3887" s="148">
        <v>7542.7692307699999</v>
      </c>
      <c r="F3887" s="148" t="s">
        <v>37</v>
      </c>
    </row>
    <row r="3888" spans="1:6" ht="15.75">
      <c r="A3888" t="str">
        <f t="shared" si="60"/>
        <v>LongirodSolaireECS</v>
      </c>
      <c r="C3888" s="148" t="s">
        <v>496</v>
      </c>
      <c r="D3888" s="148" t="s">
        <v>240</v>
      </c>
      <c r="E3888" s="148">
        <v>29404.199999999997</v>
      </c>
      <c r="F3888" s="148" t="s">
        <v>37</v>
      </c>
    </row>
    <row r="3889" spans="1:6" ht="15.75">
      <c r="A3889" t="str">
        <f t="shared" si="60"/>
        <v>LongirodAutre agent énergétiqueECS</v>
      </c>
      <c r="C3889" s="148" t="s">
        <v>496</v>
      </c>
      <c r="D3889" s="148" t="s">
        <v>245</v>
      </c>
      <c r="E3889" s="148">
        <v>2398.1176470599999</v>
      </c>
      <c r="F3889" s="148" t="s">
        <v>37</v>
      </c>
    </row>
    <row r="3890" spans="1:6" ht="15.75">
      <c r="A3890" t="str">
        <f t="shared" si="60"/>
        <v>LovatensBoisECS</v>
      </c>
      <c r="C3890" s="148" t="s">
        <v>497</v>
      </c>
      <c r="D3890" s="148" t="s">
        <v>66</v>
      </c>
      <c r="E3890" s="148">
        <v>114165.33333334001</v>
      </c>
      <c r="F3890" s="148" t="s">
        <v>37</v>
      </c>
    </row>
    <row r="3891" spans="1:6" ht="15.75">
      <c r="A3891" t="str">
        <f t="shared" si="60"/>
        <v>LovatensElectricitéECS</v>
      </c>
      <c r="C3891" s="148" t="s">
        <v>497</v>
      </c>
      <c r="D3891" s="148" t="s">
        <v>97</v>
      </c>
      <c r="E3891" s="148">
        <v>53414.666666669989</v>
      </c>
      <c r="F3891" s="148" t="s">
        <v>37</v>
      </c>
    </row>
    <row r="3892" spans="1:6" ht="15.75">
      <c r="A3892" t="str">
        <f t="shared" si="60"/>
        <v>LovatensGazECS</v>
      </c>
      <c r="C3892" s="148" t="s">
        <v>497</v>
      </c>
      <c r="D3892" s="148" t="s">
        <v>239</v>
      </c>
      <c r="E3892" s="148">
        <v>50161.176470589999</v>
      </c>
      <c r="F3892" s="148" t="s">
        <v>37</v>
      </c>
    </row>
    <row r="3893" spans="1:6" ht="15.75">
      <c r="A3893" t="str">
        <f t="shared" si="60"/>
        <v>LovatensMazoutECS</v>
      </c>
      <c r="C3893" s="148" t="s">
        <v>497</v>
      </c>
      <c r="D3893" s="148" t="s">
        <v>70</v>
      </c>
      <c r="E3893" s="148">
        <v>214624.28235292999</v>
      </c>
      <c r="F3893" s="148" t="s">
        <v>37</v>
      </c>
    </row>
    <row r="3894" spans="1:6" ht="15.75">
      <c r="A3894" t="str">
        <f t="shared" si="60"/>
        <v>LovatensNon renseignéECS</v>
      </c>
      <c r="C3894" s="148" t="s">
        <v>497</v>
      </c>
      <c r="D3894" s="148" t="s">
        <v>696</v>
      </c>
      <c r="E3894" s="148">
        <v>0</v>
      </c>
      <c r="F3894" s="148" t="s">
        <v>37</v>
      </c>
    </row>
    <row r="3895" spans="1:6" ht="15.75">
      <c r="A3895" t="str">
        <f t="shared" si="60"/>
        <v>LovatensPACECS</v>
      </c>
      <c r="C3895" s="148" t="s">
        <v>497</v>
      </c>
      <c r="D3895" s="148" t="s">
        <v>69</v>
      </c>
      <c r="E3895" s="148">
        <v>1025.2307692300001</v>
      </c>
      <c r="F3895" s="148" t="s">
        <v>37</v>
      </c>
    </row>
    <row r="3896" spans="1:6" ht="15.75">
      <c r="A3896" t="str">
        <f t="shared" si="60"/>
        <v>LovatensSolaireECS</v>
      </c>
      <c r="C3896" s="148" t="s">
        <v>497</v>
      </c>
      <c r="D3896" s="148" t="s">
        <v>240</v>
      </c>
      <c r="E3896" s="148">
        <v>2497.6</v>
      </c>
      <c r="F3896" s="148" t="s">
        <v>37</v>
      </c>
    </row>
    <row r="3897" spans="1:6" ht="15.75">
      <c r="A3897" t="str">
        <f t="shared" si="60"/>
        <v>LucensAutre agent énergétiqueECS</v>
      </c>
      <c r="C3897" s="148" t="s">
        <v>498</v>
      </c>
      <c r="D3897" s="148" t="s">
        <v>245</v>
      </c>
      <c r="E3897" s="148">
        <v>6785.8823529499996</v>
      </c>
      <c r="F3897" s="148" t="s">
        <v>37</v>
      </c>
    </row>
    <row r="3898" spans="1:6" ht="15.75">
      <c r="A3898" t="str">
        <f t="shared" si="60"/>
        <v>LucensBoisECS</v>
      </c>
      <c r="C3898" s="148" t="s">
        <v>498</v>
      </c>
      <c r="D3898" s="148" t="s">
        <v>66</v>
      </c>
      <c r="E3898" s="148">
        <v>862677.36470588995</v>
      </c>
      <c r="F3898" s="148" t="s">
        <v>37</v>
      </c>
    </row>
    <row r="3899" spans="1:6" ht="15.75">
      <c r="A3899" t="str">
        <f t="shared" si="60"/>
        <v>LucensCADECS</v>
      </c>
      <c r="C3899" s="148" t="s">
        <v>498</v>
      </c>
      <c r="D3899" s="148" t="s">
        <v>242</v>
      </c>
      <c r="E3899" s="148">
        <v>120824.20000000001</v>
      </c>
      <c r="F3899" s="148" t="s">
        <v>37</v>
      </c>
    </row>
    <row r="3900" spans="1:6" ht="15.75">
      <c r="A3900" t="str">
        <f t="shared" si="60"/>
        <v>LucensElectricitéECS</v>
      </c>
      <c r="C3900" s="148" t="s">
        <v>498</v>
      </c>
      <c r="D3900" s="148" t="s">
        <v>97</v>
      </c>
      <c r="E3900" s="148">
        <v>1064738.8888888997</v>
      </c>
      <c r="F3900" s="148" t="s">
        <v>37</v>
      </c>
    </row>
    <row r="3901" spans="1:6" ht="15.75">
      <c r="A3901" t="str">
        <f t="shared" si="60"/>
        <v>LucensGazECS</v>
      </c>
      <c r="C3901" s="148" t="s">
        <v>498</v>
      </c>
      <c r="D3901" s="148" t="s">
        <v>239</v>
      </c>
      <c r="E3901" s="148">
        <v>1151959.1069054496</v>
      </c>
      <c r="F3901" s="148" t="s">
        <v>37</v>
      </c>
    </row>
    <row r="3902" spans="1:6" ht="15.75">
      <c r="A3902" t="str">
        <f t="shared" si="60"/>
        <v>LucensMazoutECS</v>
      </c>
      <c r="C3902" s="148" t="s">
        <v>498</v>
      </c>
      <c r="D3902" s="148" t="s">
        <v>70</v>
      </c>
      <c r="E3902" s="148">
        <v>2459846.0235293205</v>
      </c>
      <c r="F3902" s="148" t="s">
        <v>37</v>
      </c>
    </row>
    <row r="3903" spans="1:6" ht="15.75">
      <c r="A3903" t="str">
        <f t="shared" si="60"/>
        <v>LucensNon renseignéECS</v>
      </c>
      <c r="C3903" s="148" t="s">
        <v>498</v>
      </c>
      <c r="D3903" s="148" t="s">
        <v>696</v>
      </c>
      <c r="E3903" s="148">
        <v>0</v>
      </c>
      <c r="F3903" s="148" t="s">
        <v>37</v>
      </c>
    </row>
    <row r="3904" spans="1:6" ht="15.75">
      <c r="A3904" t="str">
        <f t="shared" si="60"/>
        <v>LucensPACECS</v>
      </c>
      <c r="C3904" s="148" t="s">
        <v>498</v>
      </c>
      <c r="D3904" s="148" t="s">
        <v>69</v>
      </c>
      <c r="E3904" s="148">
        <v>81057.361018189986</v>
      </c>
      <c r="F3904" s="148" t="s">
        <v>37</v>
      </c>
    </row>
    <row r="3905" spans="1:6" ht="15.75">
      <c r="A3905" t="str">
        <f t="shared" si="60"/>
        <v>LucensSolaireECS</v>
      </c>
      <c r="C3905" s="148" t="s">
        <v>498</v>
      </c>
      <c r="D3905" s="148" t="s">
        <v>240</v>
      </c>
      <c r="E3905" s="148">
        <v>439596.07999999984</v>
      </c>
      <c r="F3905" s="148" t="s">
        <v>37</v>
      </c>
    </row>
    <row r="3906" spans="1:6" ht="15.75">
      <c r="A3906" t="str">
        <f t="shared" si="60"/>
        <v>LuinsBoisECS</v>
      </c>
      <c r="C3906" s="148" t="s">
        <v>499</v>
      </c>
      <c r="D3906" s="148" t="s">
        <v>66</v>
      </c>
      <c r="E3906" s="148">
        <v>34041.63137255</v>
      </c>
      <c r="F3906" s="148" t="s">
        <v>37</v>
      </c>
    </row>
    <row r="3907" spans="1:6" ht="15.75">
      <c r="A3907" t="str">
        <f t="shared" si="60"/>
        <v>LuinsElectricitéECS</v>
      </c>
      <c r="C3907" s="148" t="s">
        <v>499</v>
      </c>
      <c r="D3907" s="148" t="s">
        <v>97</v>
      </c>
      <c r="E3907" s="148">
        <v>160055.77777775002</v>
      </c>
      <c r="F3907" s="148" t="s">
        <v>37</v>
      </c>
    </row>
    <row r="3908" spans="1:6" ht="15.75">
      <c r="A3908" t="str">
        <f t="shared" si="60"/>
        <v>LuinsGazECS</v>
      </c>
      <c r="C3908" s="148" t="s">
        <v>499</v>
      </c>
      <c r="D3908" s="148" t="s">
        <v>239</v>
      </c>
      <c r="E3908" s="148">
        <v>395685.2046035899</v>
      </c>
      <c r="F3908" s="148" t="s">
        <v>37</v>
      </c>
    </row>
    <row r="3909" spans="1:6" ht="15.75">
      <c r="A3909" t="str">
        <f t="shared" si="60"/>
        <v>LuinsMazoutECS</v>
      </c>
      <c r="C3909" s="148" t="s">
        <v>499</v>
      </c>
      <c r="D3909" s="148" t="s">
        <v>70</v>
      </c>
      <c r="E3909" s="148">
        <v>243293.64705882999</v>
      </c>
      <c r="F3909" s="148" t="s">
        <v>37</v>
      </c>
    </row>
    <row r="3910" spans="1:6" ht="15.75">
      <c r="A3910" t="str">
        <f t="shared" si="60"/>
        <v>LuinsNon renseignéECS</v>
      </c>
      <c r="C3910" s="148" t="s">
        <v>499</v>
      </c>
      <c r="D3910" s="148" t="s">
        <v>696</v>
      </c>
      <c r="E3910" s="148">
        <v>0</v>
      </c>
      <c r="F3910" s="148" t="s">
        <v>37</v>
      </c>
    </row>
    <row r="3911" spans="1:6" ht="15.75">
      <c r="A3911" t="str">
        <f t="shared" si="60"/>
        <v>LuinsPACECS</v>
      </c>
      <c r="C3911" s="148" t="s">
        <v>499</v>
      </c>
      <c r="D3911" s="148" t="s">
        <v>69</v>
      </c>
      <c r="E3911" s="148">
        <v>34452.73578599</v>
      </c>
      <c r="F3911" s="148" t="s">
        <v>37</v>
      </c>
    </row>
    <row r="3912" spans="1:6" ht="15.75">
      <c r="A3912" t="str">
        <f t="shared" si="60"/>
        <v>LuinsSolaireECS</v>
      </c>
      <c r="C3912" s="148" t="s">
        <v>499</v>
      </c>
      <c r="D3912" s="148" t="s">
        <v>240</v>
      </c>
      <c r="E3912" s="148">
        <v>46853.799999999996</v>
      </c>
      <c r="F3912" s="148" t="s">
        <v>37</v>
      </c>
    </row>
    <row r="3913" spans="1:6" ht="15.75">
      <c r="A3913" t="str">
        <f t="shared" si="60"/>
        <v>Lully (VD)BoisECS</v>
      </c>
      <c r="C3913" s="148" t="s">
        <v>634</v>
      </c>
      <c r="D3913" s="148" t="s">
        <v>66</v>
      </c>
      <c r="E3913" s="148">
        <v>13221.95137255</v>
      </c>
      <c r="F3913" s="148" t="s">
        <v>37</v>
      </c>
    </row>
    <row r="3914" spans="1:6" ht="15.75">
      <c r="A3914" t="str">
        <f t="shared" si="60"/>
        <v>Lully (VD)ElectricitéECS</v>
      </c>
      <c r="C3914" s="148" t="s">
        <v>634</v>
      </c>
      <c r="D3914" s="148" t="s">
        <v>97</v>
      </c>
      <c r="E3914" s="148">
        <v>160663.99999998003</v>
      </c>
      <c r="F3914" s="148" t="s">
        <v>37</v>
      </c>
    </row>
    <row r="3915" spans="1:6" ht="15.75">
      <c r="A3915" t="str">
        <f t="shared" si="60"/>
        <v>Lully (VD)GazECS</v>
      </c>
      <c r="C3915" s="148" t="s">
        <v>634</v>
      </c>
      <c r="D3915" s="148" t="s">
        <v>239</v>
      </c>
      <c r="E3915" s="148">
        <v>320133.73913040996</v>
      </c>
      <c r="F3915" s="148" t="s">
        <v>37</v>
      </c>
    </row>
    <row r="3916" spans="1:6" ht="15.75">
      <c r="A3916" t="str">
        <f t="shared" si="60"/>
        <v>Lully (VD)MazoutECS</v>
      </c>
      <c r="C3916" s="148" t="s">
        <v>634</v>
      </c>
      <c r="D3916" s="148" t="s">
        <v>70</v>
      </c>
      <c r="E3916" s="148">
        <v>413019.76470583997</v>
      </c>
      <c r="F3916" s="148" t="s">
        <v>37</v>
      </c>
    </row>
    <row r="3917" spans="1:6" ht="15.75">
      <c r="A3917" t="str">
        <f t="shared" si="60"/>
        <v>Lully (VD)Non renseignéECS</v>
      </c>
      <c r="C3917" s="148" t="s">
        <v>634</v>
      </c>
      <c r="D3917" s="148" t="s">
        <v>696</v>
      </c>
      <c r="E3917" s="148">
        <v>0</v>
      </c>
      <c r="F3917" s="148" t="s">
        <v>37</v>
      </c>
    </row>
    <row r="3918" spans="1:6" ht="15.75">
      <c r="A3918" t="str">
        <f t="shared" si="60"/>
        <v>Lully (VD)PACECS</v>
      </c>
      <c r="C3918" s="148" t="s">
        <v>634</v>
      </c>
      <c r="D3918" s="148" t="s">
        <v>69</v>
      </c>
      <c r="E3918" s="148">
        <v>18634.702341149998</v>
      </c>
      <c r="F3918" s="148" t="s">
        <v>37</v>
      </c>
    </row>
    <row r="3919" spans="1:6" ht="15.75">
      <c r="A3919" t="str">
        <f t="shared" si="60"/>
        <v>Lully (VD)SolaireECS</v>
      </c>
      <c r="C3919" s="148" t="s">
        <v>634</v>
      </c>
      <c r="D3919" s="148" t="s">
        <v>240</v>
      </c>
      <c r="E3919" s="148">
        <v>88336.5</v>
      </c>
      <c r="F3919" s="148" t="s">
        <v>37</v>
      </c>
    </row>
    <row r="3920" spans="1:6" ht="15.75">
      <c r="A3920" t="str">
        <f t="shared" si="60"/>
        <v>Lully (VD)Autre agent énergétiqueECS</v>
      </c>
      <c r="C3920" s="148" t="s">
        <v>634</v>
      </c>
      <c r="D3920" s="148" t="s">
        <v>245</v>
      </c>
      <c r="E3920" s="148">
        <v>47079.529411759999</v>
      </c>
      <c r="F3920" s="148" t="s">
        <v>37</v>
      </c>
    </row>
    <row r="3921" spans="1:6" ht="15.75">
      <c r="A3921" t="str">
        <f t="shared" si="60"/>
        <v>Lully (VD)CharbonECS</v>
      </c>
      <c r="C3921" s="148" t="s">
        <v>634</v>
      </c>
      <c r="D3921" s="148" t="s">
        <v>695</v>
      </c>
      <c r="E3921" s="148" t="e">
        <v>#N/A</v>
      </c>
      <c r="F3921" s="148" t="s">
        <v>37</v>
      </c>
    </row>
    <row r="3922" spans="1:6" ht="15.75">
      <c r="A3922" t="str">
        <f t="shared" si="60"/>
        <v>Lussery-VillarsBoisECS</v>
      </c>
      <c r="C3922" s="148" t="s">
        <v>500</v>
      </c>
      <c r="D3922" s="148" t="s">
        <v>66</v>
      </c>
      <c r="E3922" s="148">
        <v>9512.3137254899993</v>
      </c>
      <c r="F3922" s="148" t="s">
        <v>37</v>
      </c>
    </row>
    <row r="3923" spans="1:6" ht="15.75">
      <c r="A3923" t="str">
        <f t="shared" ref="A3923:A3986" si="61">_xlfn.CONCAT(C3923,D3923,F3923)</f>
        <v>Lussery-VillarsElectricitéECS</v>
      </c>
      <c r="C3923" s="148" t="s">
        <v>500</v>
      </c>
      <c r="D3923" s="148" t="s">
        <v>97</v>
      </c>
      <c r="E3923" s="148">
        <v>90336.711111099983</v>
      </c>
      <c r="F3923" s="148" t="s">
        <v>37</v>
      </c>
    </row>
    <row r="3924" spans="1:6" ht="15.75">
      <c r="A3924" t="str">
        <f t="shared" si="61"/>
        <v>Lussery-VillarsGazECS</v>
      </c>
      <c r="C3924" s="148" t="s">
        <v>500</v>
      </c>
      <c r="D3924" s="148" t="s">
        <v>239</v>
      </c>
      <c r="E3924" s="148">
        <v>312699.32736573013</v>
      </c>
      <c r="F3924" s="148" t="s">
        <v>37</v>
      </c>
    </row>
    <row r="3925" spans="1:6" ht="15.75">
      <c r="A3925" t="str">
        <f t="shared" si="61"/>
        <v>Lussery-VillarsMazoutECS</v>
      </c>
      <c r="C3925" s="148" t="s">
        <v>500</v>
      </c>
      <c r="D3925" s="148" t="s">
        <v>70</v>
      </c>
      <c r="E3925" s="148">
        <v>186733.64705882</v>
      </c>
      <c r="F3925" s="148" t="s">
        <v>37</v>
      </c>
    </row>
    <row r="3926" spans="1:6" ht="15.75">
      <c r="A3926" t="str">
        <f t="shared" si="61"/>
        <v>Lussery-VillarsNon renseignéECS</v>
      </c>
      <c r="C3926" s="148" t="s">
        <v>500</v>
      </c>
      <c r="D3926" s="148" t="s">
        <v>696</v>
      </c>
      <c r="E3926" s="148">
        <v>0</v>
      </c>
      <c r="F3926" s="148" t="s">
        <v>37</v>
      </c>
    </row>
    <row r="3927" spans="1:6" ht="15.75">
      <c r="A3927" t="str">
        <f t="shared" si="61"/>
        <v>Lussery-VillarsPACECS</v>
      </c>
      <c r="C3927" s="148" t="s">
        <v>500</v>
      </c>
      <c r="D3927" s="148" t="s">
        <v>69</v>
      </c>
      <c r="E3927" s="148">
        <v>5940.3076923000008</v>
      </c>
      <c r="F3927" s="148" t="s">
        <v>37</v>
      </c>
    </row>
    <row r="3928" spans="1:6" ht="15.75">
      <c r="A3928" t="str">
        <f t="shared" si="61"/>
        <v>Lussery-VillarsSolaireECS</v>
      </c>
      <c r="C3928" s="148" t="s">
        <v>500</v>
      </c>
      <c r="D3928" s="148" t="s">
        <v>240</v>
      </c>
      <c r="E3928" s="148">
        <v>25743.200000000001</v>
      </c>
      <c r="F3928" s="148" t="s">
        <v>37</v>
      </c>
    </row>
    <row r="3929" spans="1:6" ht="15.75">
      <c r="A3929" t="str">
        <f t="shared" si="61"/>
        <v>Lussy-sur-MorgesBoisECS</v>
      </c>
      <c r="C3929" s="148" t="s">
        <v>633</v>
      </c>
      <c r="D3929" s="148" t="s">
        <v>66</v>
      </c>
      <c r="E3929" s="148">
        <v>65334.650980390004</v>
      </c>
      <c r="F3929" s="148" t="s">
        <v>37</v>
      </c>
    </row>
    <row r="3930" spans="1:6" ht="15.75">
      <c r="A3930" t="str">
        <f t="shared" si="61"/>
        <v>Lussy-sur-MorgesCADECS</v>
      </c>
      <c r="C3930" s="148" t="s">
        <v>633</v>
      </c>
      <c r="D3930" s="148" t="s">
        <v>242</v>
      </c>
      <c r="E3930" s="148" t="e">
        <v>#N/A</v>
      </c>
      <c r="F3930" s="148" t="s">
        <v>37</v>
      </c>
    </row>
    <row r="3931" spans="1:6" ht="15.75">
      <c r="A3931" t="str">
        <f t="shared" si="61"/>
        <v>Lussy-sur-MorgesElectricitéECS</v>
      </c>
      <c r="C3931" s="148" t="s">
        <v>633</v>
      </c>
      <c r="D3931" s="148" t="s">
        <v>97</v>
      </c>
      <c r="E3931" s="148">
        <v>258038.66666667</v>
      </c>
      <c r="F3931" s="148" t="s">
        <v>37</v>
      </c>
    </row>
    <row r="3932" spans="1:6" ht="15.75">
      <c r="A3932" t="str">
        <f t="shared" si="61"/>
        <v>Lussy-sur-MorgesGazECS</v>
      </c>
      <c r="C3932" s="148" t="s">
        <v>633</v>
      </c>
      <c r="D3932" s="148" t="s">
        <v>239</v>
      </c>
      <c r="E3932" s="148">
        <v>260716.50383630005</v>
      </c>
      <c r="F3932" s="148" t="s">
        <v>37</v>
      </c>
    </row>
    <row r="3933" spans="1:6" ht="15.75">
      <c r="A3933" t="str">
        <f t="shared" si="61"/>
        <v>Lussy-sur-MorgesMazoutECS</v>
      </c>
      <c r="C3933" s="148" t="s">
        <v>633</v>
      </c>
      <c r="D3933" s="148" t="s">
        <v>70</v>
      </c>
      <c r="E3933" s="148">
        <v>271717.39037432004</v>
      </c>
      <c r="F3933" s="148" t="s">
        <v>37</v>
      </c>
    </row>
    <row r="3934" spans="1:6" ht="15.75">
      <c r="A3934" t="str">
        <f t="shared" si="61"/>
        <v>Lussy-sur-MorgesNon renseignéECS</v>
      </c>
      <c r="C3934" s="148" t="s">
        <v>633</v>
      </c>
      <c r="D3934" s="148" t="s">
        <v>696</v>
      </c>
      <c r="E3934" s="148" t="e">
        <v>#N/A</v>
      </c>
      <c r="F3934" s="148" t="s">
        <v>37</v>
      </c>
    </row>
    <row r="3935" spans="1:6" ht="15.75">
      <c r="A3935" t="str">
        <f t="shared" si="61"/>
        <v>Lussy-sur-MorgesPACECS</v>
      </c>
      <c r="C3935" s="148" t="s">
        <v>633</v>
      </c>
      <c r="D3935" s="148" t="s">
        <v>69</v>
      </c>
      <c r="E3935" s="148">
        <v>7127.6353276599993</v>
      </c>
      <c r="F3935" s="148" t="s">
        <v>37</v>
      </c>
    </row>
    <row r="3936" spans="1:6" ht="15.75">
      <c r="A3936" t="str">
        <f t="shared" si="61"/>
        <v>Lussy-sur-MorgesSolaireECS</v>
      </c>
      <c r="C3936" s="148" t="s">
        <v>633</v>
      </c>
      <c r="D3936" s="148" t="s">
        <v>240</v>
      </c>
      <c r="E3936" s="148">
        <v>68222</v>
      </c>
      <c r="F3936" s="148" t="s">
        <v>37</v>
      </c>
    </row>
    <row r="3937" spans="1:6" ht="15.75">
      <c r="A3937" t="str">
        <f t="shared" si="61"/>
        <v>LutryBoisECS</v>
      </c>
      <c r="C3937" s="148" t="s">
        <v>501</v>
      </c>
      <c r="D3937" s="148" t="s">
        <v>66</v>
      </c>
      <c r="E3937" s="148">
        <v>1100812.4941176199</v>
      </c>
      <c r="F3937" s="148" t="s">
        <v>37</v>
      </c>
    </row>
    <row r="3938" spans="1:6" ht="15.75">
      <c r="A3938" t="str">
        <f t="shared" si="61"/>
        <v>LutryCADECS</v>
      </c>
      <c r="C3938" s="148" t="s">
        <v>501</v>
      </c>
      <c r="D3938" s="148" t="s">
        <v>242</v>
      </c>
      <c r="E3938" s="148" t="e">
        <v>#N/A</v>
      </c>
      <c r="F3938" s="148" t="s">
        <v>37</v>
      </c>
    </row>
    <row r="3939" spans="1:6" ht="15.75">
      <c r="A3939" t="str">
        <f t="shared" si="61"/>
        <v>LutryCharbonECS</v>
      </c>
      <c r="C3939" s="148" t="s">
        <v>501</v>
      </c>
      <c r="D3939" s="148" t="s">
        <v>695</v>
      </c>
      <c r="E3939" s="148" t="e">
        <v>#N/A</v>
      </c>
      <c r="F3939" s="148" t="s">
        <v>37</v>
      </c>
    </row>
    <row r="3940" spans="1:6" ht="15.75">
      <c r="A3940" t="str">
        <f t="shared" si="61"/>
        <v>LutryElectricitéECS</v>
      </c>
      <c r="C3940" s="148" t="s">
        <v>501</v>
      </c>
      <c r="D3940" s="148" t="s">
        <v>97</v>
      </c>
      <c r="E3940" s="148">
        <v>2456915.8085471378</v>
      </c>
      <c r="F3940" s="148" t="s">
        <v>37</v>
      </c>
    </row>
    <row r="3941" spans="1:6" ht="15.75">
      <c r="A3941" t="str">
        <f t="shared" si="61"/>
        <v>LutryGazECS</v>
      </c>
      <c r="C3941" s="148" t="s">
        <v>501</v>
      </c>
      <c r="D3941" s="148" t="s">
        <v>239</v>
      </c>
      <c r="E3941" s="148">
        <v>797940.27621482022</v>
      </c>
      <c r="F3941" s="148" t="s">
        <v>37</v>
      </c>
    </row>
    <row r="3942" spans="1:6" ht="15.75">
      <c r="A3942" t="str">
        <f t="shared" si="61"/>
        <v>LutryMazoutECS</v>
      </c>
      <c r="C3942" s="148" t="s">
        <v>501</v>
      </c>
      <c r="D3942" s="148" t="s">
        <v>70</v>
      </c>
      <c r="E3942" s="148">
        <v>10819279.795187235</v>
      </c>
      <c r="F3942" s="148" t="s">
        <v>37</v>
      </c>
    </row>
    <row r="3943" spans="1:6" ht="15.75">
      <c r="A3943" t="str">
        <f t="shared" si="61"/>
        <v>LutryNon renseignéECS</v>
      </c>
      <c r="C3943" s="148" t="s">
        <v>501</v>
      </c>
      <c r="D3943" s="148" t="s">
        <v>696</v>
      </c>
      <c r="E3943" s="148">
        <v>0</v>
      </c>
      <c r="F3943" s="148" t="s">
        <v>37</v>
      </c>
    </row>
    <row r="3944" spans="1:6" ht="15.75">
      <c r="A3944" t="str">
        <f t="shared" si="61"/>
        <v>LutryPACECS</v>
      </c>
      <c r="C3944" s="148" t="s">
        <v>501</v>
      </c>
      <c r="D3944" s="148" t="s">
        <v>69</v>
      </c>
      <c r="E3944" s="148">
        <v>329888.20878234989</v>
      </c>
      <c r="F3944" s="148" t="s">
        <v>37</v>
      </c>
    </row>
    <row r="3945" spans="1:6" ht="15.75">
      <c r="A3945" t="str">
        <f t="shared" si="61"/>
        <v>LutrySolaireECS</v>
      </c>
      <c r="C3945" s="148" t="s">
        <v>501</v>
      </c>
      <c r="D3945" s="148" t="s">
        <v>240</v>
      </c>
      <c r="E3945" s="148">
        <v>1302390.6000000001</v>
      </c>
      <c r="F3945" s="148" t="s">
        <v>37</v>
      </c>
    </row>
    <row r="3946" spans="1:6" ht="15.75">
      <c r="A3946" t="str">
        <f t="shared" si="61"/>
        <v>LutryAutre agent énergétiqueECS</v>
      </c>
      <c r="C3946" s="148" t="s">
        <v>501</v>
      </c>
      <c r="D3946" s="148" t="s">
        <v>245</v>
      </c>
      <c r="E3946" s="148">
        <v>31860.705882350001</v>
      </c>
      <c r="F3946" s="148" t="s">
        <v>37</v>
      </c>
    </row>
    <row r="3947" spans="1:6" ht="15.75">
      <c r="A3947" t="str">
        <f t="shared" si="61"/>
        <v>MaraconBoisECS</v>
      </c>
      <c r="C3947" s="148" t="s">
        <v>502</v>
      </c>
      <c r="D3947" s="148" t="s">
        <v>66</v>
      </c>
      <c r="E3947" s="148">
        <v>89437.270588229978</v>
      </c>
      <c r="F3947" s="148" t="s">
        <v>37</v>
      </c>
    </row>
    <row r="3948" spans="1:6" ht="15.75">
      <c r="A3948" t="str">
        <f t="shared" si="61"/>
        <v>MaraconCADECS</v>
      </c>
      <c r="C3948" s="148" t="s">
        <v>502</v>
      </c>
      <c r="D3948" s="148" t="s">
        <v>242</v>
      </c>
      <c r="E3948" s="148">
        <v>3875.2000000000003</v>
      </c>
      <c r="F3948" s="148" t="s">
        <v>37</v>
      </c>
    </row>
    <row r="3949" spans="1:6" ht="15.75">
      <c r="A3949" t="str">
        <f t="shared" si="61"/>
        <v>MaraconElectricitéECS</v>
      </c>
      <c r="C3949" s="148" t="s">
        <v>502</v>
      </c>
      <c r="D3949" s="148" t="s">
        <v>97</v>
      </c>
      <c r="E3949" s="148">
        <v>209474.22222221</v>
      </c>
      <c r="F3949" s="148" t="s">
        <v>37</v>
      </c>
    </row>
    <row r="3950" spans="1:6" ht="15.75">
      <c r="A3950" t="str">
        <f t="shared" si="61"/>
        <v>MaraconGazECS</v>
      </c>
      <c r="C3950" s="148" t="s">
        <v>502</v>
      </c>
      <c r="D3950" s="148" t="s">
        <v>239</v>
      </c>
      <c r="E3950" s="148">
        <v>37483.764705890004</v>
      </c>
      <c r="F3950" s="148" t="s">
        <v>37</v>
      </c>
    </row>
    <row r="3951" spans="1:6" ht="15.75">
      <c r="A3951" t="str">
        <f t="shared" si="61"/>
        <v>MaraconMazoutECS</v>
      </c>
      <c r="C3951" s="148" t="s">
        <v>502</v>
      </c>
      <c r="D3951" s="148" t="s">
        <v>70</v>
      </c>
      <c r="E3951" s="148">
        <v>376702.11764706991</v>
      </c>
      <c r="F3951" s="148" t="s">
        <v>37</v>
      </c>
    </row>
    <row r="3952" spans="1:6" ht="15.75">
      <c r="A3952" t="str">
        <f t="shared" si="61"/>
        <v>MaraconNon renseignéECS</v>
      </c>
      <c r="C3952" s="148" t="s">
        <v>502</v>
      </c>
      <c r="D3952" s="148" t="s">
        <v>696</v>
      </c>
      <c r="E3952" s="148">
        <v>0</v>
      </c>
      <c r="F3952" s="148" t="s">
        <v>37</v>
      </c>
    </row>
    <row r="3953" spans="1:6" ht="15.75">
      <c r="A3953" t="str">
        <f t="shared" si="61"/>
        <v>MaraconPACECS</v>
      </c>
      <c r="C3953" s="148" t="s">
        <v>502</v>
      </c>
      <c r="D3953" s="148" t="s">
        <v>69</v>
      </c>
      <c r="E3953" s="148">
        <v>23043.668338919997</v>
      </c>
      <c r="F3953" s="148" t="s">
        <v>37</v>
      </c>
    </row>
    <row r="3954" spans="1:6" ht="15.75">
      <c r="A3954" t="str">
        <f t="shared" si="61"/>
        <v>MaraconSolaireECS</v>
      </c>
      <c r="C3954" s="148" t="s">
        <v>502</v>
      </c>
      <c r="D3954" s="148" t="s">
        <v>240</v>
      </c>
      <c r="E3954" s="148">
        <v>80615.92</v>
      </c>
      <c r="F3954" s="148" t="s">
        <v>37</v>
      </c>
    </row>
    <row r="3955" spans="1:6" ht="15.75">
      <c r="A3955" t="str">
        <f t="shared" si="61"/>
        <v>MarchissyBoisECS</v>
      </c>
      <c r="C3955" s="148" t="s">
        <v>503</v>
      </c>
      <c r="D3955" s="148" t="s">
        <v>66</v>
      </c>
      <c r="E3955" s="148">
        <v>130528.75294118002</v>
      </c>
      <c r="F3955" s="148" t="s">
        <v>37</v>
      </c>
    </row>
    <row r="3956" spans="1:6" ht="15.75">
      <c r="A3956" t="str">
        <f t="shared" si="61"/>
        <v>MarchissyCADECS</v>
      </c>
      <c r="C3956" s="148" t="s">
        <v>503</v>
      </c>
      <c r="D3956" s="148" t="s">
        <v>242</v>
      </c>
      <c r="E3956" s="148">
        <v>10920</v>
      </c>
      <c r="F3956" s="148" t="s">
        <v>37</v>
      </c>
    </row>
    <row r="3957" spans="1:6" ht="15.75">
      <c r="A3957" t="str">
        <f t="shared" si="61"/>
        <v>MarchissyElectricitéECS</v>
      </c>
      <c r="C3957" s="148" t="s">
        <v>503</v>
      </c>
      <c r="D3957" s="148" t="s">
        <v>97</v>
      </c>
      <c r="E3957" s="148">
        <v>221252.26666666998</v>
      </c>
      <c r="F3957" s="148" t="s">
        <v>37</v>
      </c>
    </row>
    <row r="3958" spans="1:6" ht="15.75">
      <c r="A3958" t="str">
        <f t="shared" si="61"/>
        <v>MarchissyGazECS</v>
      </c>
      <c r="C3958" s="148" t="s">
        <v>503</v>
      </c>
      <c r="D3958" s="148" t="s">
        <v>239</v>
      </c>
      <c r="E3958" s="148">
        <v>29991.508951399996</v>
      </c>
      <c r="F3958" s="148" t="s">
        <v>37</v>
      </c>
    </row>
    <row r="3959" spans="1:6" ht="15.75">
      <c r="A3959" t="str">
        <f t="shared" si="61"/>
        <v>MarchissyMazoutECS</v>
      </c>
      <c r="C3959" s="148" t="s">
        <v>503</v>
      </c>
      <c r="D3959" s="148" t="s">
        <v>70</v>
      </c>
      <c r="E3959" s="148">
        <v>366322.6823529501</v>
      </c>
      <c r="F3959" s="148" t="s">
        <v>37</v>
      </c>
    </row>
    <row r="3960" spans="1:6" ht="15.75">
      <c r="A3960" t="str">
        <f t="shared" si="61"/>
        <v>MarchissyNon renseignéECS</v>
      </c>
      <c r="C3960" s="148" t="s">
        <v>503</v>
      </c>
      <c r="D3960" s="148" t="s">
        <v>696</v>
      </c>
      <c r="E3960" s="148">
        <v>0</v>
      </c>
      <c r="F3960" s="148" t="s">
        <v>37</v>
      </c>
    </row>
    <row r="3961" spans="1:6" ht="15.75">
      <c r="A3961" t="str">
        <f t="shared" si="61"/>
        <v>MarchissyPACECS</v>
      </c>
      <c r="C3961" s="148" t="s">
        <v>503</v>
      </c>
      <c r="D3961" s="148" t="s">
        <v>69</v>
      </c>
      <c r="E3961" s="148">
        <v>21091.983277589999</v>
      </c>
      <c r="F3961" s="148" t="s">
        <v>37</v>
      </c>
    </row>
    <row r="3962" spans="1:6" ht="15.75">
      <c r="A3962" t="str">
        <f t="shared" si="61"/>
        <v>MarchissySolaireECS</v>
      </c>
      <c r="C3962" s="148" t="s">
        <v>503</v>
      </c>
      <c r="D3962" s="148" t="s">
        <v>240</v>
      </c>
      <c r="E3962" s="148">
        <v>32594.488888890002</v>
      </c>
      <c r="F3962" s="148" t="s">
        <v>37</v>
      </c>
    </row>
    <row r="3963" spans="1:6" ht="15.75">
      <c r="A3963" t="str">
        <f t="shared" si="61"/>
        <v>MathodBoisECS</v>
      </c>
      <c r="C3963" s="148" t="s">
        <v>504</v>
      </c>
      <c r="D3963" s="148" t="s">
        <v>66</v>
      </c>
      <c r="E3963" s="148">
        <v>54499.199999999997</v>
      </c>
      <c r="F3963" s="148" t="s">
        <v>37</v>
      </c>
    </row>
    <row r="3964" spans="1:6" ht="15.75">
      <c r="A3964" t="str">
        <f t="shared" si="61"/>
        <v>MathodElectricitéECS</v>
      </c>
      <c r="C3964" s="148" t="s">
        <v>504</v>
      </c>
      <c r="D3964" s="148" t="s">
        <v>97</v>
      </c>
      <c r="E3964" s="148">
        <v>205714.75555556003</v>
      </c>
      <c r="F3964" s="148" t="s">
        <v>37</v>
      </c>
    </row>
    <row r="3965" spans="1:6" ht="15.75">
      <c r="A3965" t="str">
        <f t="shared" si="61"/>
        <v>MathodGazECS</v>
      </c>
      <c r="C3965" s="148" t="s">
        <v>504</v>
      </c>
      <c r="D3965" s="148" t="s">
        <v>239</v>
      </c>
      <c r="E3965" s="148">
        <v>361526.37027562998</v>
      </c>
      <c r="F3965" s="148" t="s">
        <v>37</v>
      </c>
    </row>
    <row r="3966" spans="1:6" ht="15.75">
      <c r="A3966" t="str">
        <f t="shared" si="61"/>
        <v>MathodMazoutECS</v>
      </c>
      <c r="C3966" s="148" t="s">
        <v>504</v>
      </c>
      <c r="D3966" s="148" t="s">
        <v>70</v>
      </c>
      <c r="E3966" s="148">
        <v>370102.3529411701</v>
      </c>
      <c r="F3966" s="148" t="s">
        <v>37</v>
      </c>
    </row>
    <row r="3967" spans="1:6" ht="15.75">
      <c r="A3967" t="str">
        <f t="shared" si="61"/>
        <v>MathodNon renseignéECS</v>
      </c>
      <c r="C3967" s="148" t="s">
        <v>504</v>
      </c>
      <c r="D3967" s="148" t="s">
        <v>696</v>
      </c>
      <c r="E3967" s="148">
        <v>0</v>
      </c>
      <c r="F3967" s="148" t="s">
        <v>37</v>
      </c>
    </row>
    <row r="3968" spans="1:6" ht="15.75">
      <c r="A3968" t="str">
        <f t="shared" si="61"/>
        <v>MathodPACECS</v>
      </c>
      <c r="C3968" s="148" t="s">
        <v>504</v>
      </c>
      <c r="D3968" s="148" t="s">
        <v>69</v>
      </c>
      <c r="E3968" s="148">
        <v>15942.76923077</v>
      </c>
      <c r="F3968" s="148" t="s">
        <v>37</v>
      </c>
    </row>
    <row r="3969" spans="1:6" ht="15.75">
      <c r="A3969" t="str">
        <f t="shared" si="61"/>
        <v>MathodSolaireECS</v>
      </c>
      <c r="C3969" s="148" t="s">
        <v>504</v>
      </c>
      <c r="D3969" s="148" t="s">
        <v>240</v>
      </c>
      <c r="E3969" s="148">
        <v>62710.9</v>
      </c>
      <c r="F3969" s="148" t="s">
        <v>37</v>
      </c>
    </row>
    <row r="3970" spans="1:6" ht="15.75">
      <c r="A3970" t="str">
        <f t="shared" si="61"/>
        <v>MauborgetBoisECS</v>
      </c>
      <c r="C3970" s="148" t="s">
        <v>505</v>
      </c>
      <c r="D3970" s="148" t="s">
        <v>66</v>
      </c>
      <c r="E3970" s="148">
        <v>36925.08235294</v>
      </c>
      <c r="F3970" s="148" t="s">
        <v>37</v>
      </c>
    </row>
    <row r="3971" spans="1:6" ht="15.75">
      <c r="A3971" t="str">
        <f t="shared" si="61"/>
        <v>MauborgetElectricitéECS</v>
      </c>
      <c r="C3971" s="148" t="s">
        <v>505</v>
      </c>
      <c r="D3971" s="148" t="s">
        <v>97</v>
      </c>
      <c r="E3971" s="148">
        <v>164528.00000002992</v>
      </c>
      <c r="F3971" s="148" t="s">
        <v>37</v>
      </c>
    </row>
    <row r="3972" spans="1:6" ht="15.75">
      <c r="A3972" t="str">
        <f t="shared" si="61"/>
        <v>MauborgetGazECS</v>
      </c>
      <c r="C3972" s="148" t="s">
        <v>505</v>
      </c>
      <c r="D3972" s="148" t="s">
        <v>239</v>
      </c>
      <c r="E3972" s="148">
        <v>3518.11764705</v>
      </c>
      <c r="F3972" s="148" t="s">
        <v>37</v>
      </c>
    </row>
    <row r="3973" spans="1:6" ht="15.75">
      <c r="A3973" t="str">
        <f t="shared" si="61"/>
        <v>MauborgetMazoutECS</v>
      </c>
      <c r="C3973" s="148" t="s">
        <v>505</v>
      </c>
      <c r="D3973" s="148" t="s">
        <v>70</v>
      </c>
      <c r="E3973" s="148">
        <v>113212.23529413001</v>
      </c>
      <c r="F3973" s="148" t="s">
        <v>37</v>
      </c>
    </row>
    <row r="3974" spans="1:6" ht="15.75">
      <c r="A3974" t="str">
        <f t="shared" si="61"/>
        <v>MauborgetNon renseignéECS</v>
      </c>
      <c r="C3974" s="148" t="s">
        <v>505</v>
      </c>
      <c r="D3974" s="148" t="s">
        <v>696</v>
      </c>
      <c r="E3974" s="148">
        <v>0</v>
      </c>
      <c r="F3974" s="148" t="s">
        <v>37</v>
      </c>
    </row>
    <row r="3975" spans="1:6" ht="15.75">
      <c r="A3975" t="str">
        <f t="shared" si="61"/>
        <v>MauborgetPACECS</v>
      </c>
      <c r="C3975" s="148" t="s">
        <v>505</v>
      </c>
      <c r="D3975" s="148" t="s">
        <v>69</v>
      </c>
      <c r="E3975" s="148">
        <v>1780.1538461499999</v>
      </c>
      <c r="F3975" s="148" t="s">
        <v>37</v>
      </c>
    </row>
    <row r="3976" spans="1:6" ht="15.75">
      <c r="A3976" t="str">
        <f t="shared" si="61"/>
        <v>MauborgetSolaireECS</v>
      </c>
      <c r="C3976" s="148" t="s">
        <v>505</v>
      </c>
      <c r="D3976" s="148" t="s">
        <v>240</v>
      </c>
      <c r="E3976" s="148">
        <v>11418.400000000001</v>
      </c>
      <c r="F3976" s="148" t="s">
        <v>37</v>
      </c>
    </row>
    <row r="3977" spans="1:6" ht="15.75">
      <c r="A3977" t="str">
        <f t="shared" si="61"/>
        <v>MaurazBoisECS</v>
      </c>
      <c r="C3977" s="148" t="s">
        <v>506</v>
      </c>
      <c r="D3977" s="148" t="s">
        <v>66</v>
      </c>
      <c r="E3977" s="148">
        <v>10035.200000000001</v>
      </c>
      <c r="F3977" s="148" t="s">
        <v>37</v>
      </c>
    </row>
    <row r="3978" spans="1:6" ht="15.75">
      <c r="A3978" t="str">
        <f t="shared" si="61"/>
        <v>MaurazElectricitéECS</v>
      </c>
      <c r="C3978" s="148" t="s">
        <v>506</v>
      </c>
      <c r="D3978" s="148" t="s">
        <v>97</v>
      </c>
      <c r="E3978" s="148">
        <v>16140.44444444</v>
      </c>
      <c r="F3978" s="148" t="s">
        <v>37</v>
      </c>
    </row>
    <row r="3979" spans="1:6" ht="15.75">
      <c r="A3979" t="str">
        <f t="shared" si="61"/>
        <v>MaurazGazECS</v>
      </c>
      <c r="C3979" s="148" t="s">
        <v>506</v>
      </c>
      <c r="D3979" s="148" t="s">
        <v>239</v>
      </c>
      <c r="E3979" s="148">
        <v>52432.470588240001</v>
      </c>
      <c r="F3979" s="148" t="s">
        <v>37</v>
      </c>
    </row>
    <row r="3980" spans="1:6" ht="15.75">
      <c r="A3980" t="str">
        <f t="shared" si="61"/>
        <v>MaurazMazoutECS</v>
      </c>
      <c r="C3980" s="148" t="s">
        <v>506</v>
      </c>
      <c r="D3980" s="148" t="s">
        <v>70</v>
      </c>
      <c r="E3980" s="148">
        <v>43851.294117650003</v>
      </c>
      <c r="F3980" s="148" t="s">
        <v>37</v>
      </c>
    </row>
    <row r="3981" spans="1:6" ht="15.75">
      <c r="A3981" t="str">
        <f t="shared" si="61"/>
        <v>MaurazNon renseignéECS</v>
      </c>
      <c r="C3981" s="148" t="s">
        <v>506</v>
      </c>
      <c r="D3981" s="148" t="s">
        <v>696</v>
      </c>
      <c r="E3981" s="148">
        <v>0</v>
      </c>
      <c r="F3981" s="148" t="s">
        <v>37</v>
      </c>
    </row>
    <row r="3982" spans="1:6" ht="15.75">
      <c r="A3982" t="str">
        <f t="shared" si="61"/>
        <v>MaurazSolaireECS</v>
      </c>
      <c r="C3982" s="148" t="s">
        <v>506</v>
      </c>
      <c r="D3982" s="148" t="s">
        <v>240</v>
      </c>
      <c r="E3982" s="148">
        <v>5079.2</v>
      </c>
      <c r="F3982" s="148" t="s">
        <v>37</v>
      </c>
    </row>
    <row r="3983" spans="1:6" ht="15.75">
      <c r="A3983" t="str">
        <f t="shared" si="61"/>
        <v>Mex (VD)BoisECS</v>
      </c>
      <c r="C3983" s="148" t="s">
        <v>632</v>
      </c>
      <c r="D3983" s="148" t="s">
        <v>66</v>
      </c>
      <c r="E3983" s="148">
        <v>104622.93333333</v>
      </c>
      <c r="F3983" s="148" t="s">
        <v>37</v>
      </c>
    </row>
    <row r="3984" spans="1:6" ht="15.75">
      <c r="A3984" t="str">
        <f t="shared" si="61"/>
        <v>Mex (VD)CADECS</v>
      </c>
      <c r="C3984" s="148" t="s">
        <v>632</v>
      </c>
      <c r="D3984" s="148" t="s">
        <v>242</v>
      </c>
      <c r="E3984" s="148" t="e">
        <v>#N/A</v>
      </c>
      <c r="F3984" s="148" t="s">
        <v>37</v>
      </c>
    </row>
    <row r="3985" spans="1:6" ht="15.75">
      <c r="A3985" t="str">
        <f t="shared" si="61"/>
        <v>Mex (VD)CharbonECS</v>
      </c>
      <c r="C3985" s="148" t="s">
        <v>632</v>
      </c>
      <c r="D3985" s="148" t="s">
        <v>695</v>
      </c>
      <c r="E3985" s="148" t="e">
        <v>#N/A</v>
      </c>
      <c r="F3985" s="148" t="s">
        <v>37</v>
      </c>
    </row>
    <row r="3986" spans="1:6" ht="15.75">
      <c r="A3986" t="str">
        <f t="shared" si="61"/>
        <v>Mex (VD)ElectricitéECS</v>
      </c>
      <c r="C3986" s="148" t="s">
        <v>632</v>
      </c>
      <c r="D3986" s="148" t="s">
        <v>97</v>
      </c>
      <c r="E3986" s="148">
        <v>178302.44444443</v>
      </c>
      <c r="F3986" s="148" t="s">
        <v>37</v>
      </c>
    </row>
    <row r="3987" spans="1:6" ht="15.75">
      <c r="A3987" t="str">
        <f t="shared" ref="A3987:A4050" si="62">_xlfn.CONCAT(C3987,D3987,F3987)</f>
        <v>Mex (VD)GazECS</v>
      </c>
      <c r="C3987" s="148" t="s">
        <v>632</v>
      </c>
      <c r="D3987" s="148" t="s">
        <v>239</v>
      </c>
      <c r="E3987" s="148">
        <v>745909.25831203</v>
      </c>
      <c r="F3987" s="148" t="s">
        <v>37</v>
      </c>
    </row>
    <row r="3988" spans="1:6" ht="15.75">
      <c r="A3988" t="str">
        <f t="shared" si="62"/>
        <v>Mex (VD)MazoutECS</v>
      </c>
      <c r="C3988" s="148" t="s">
        <v>632</v>
      </c>
      <c r="D3988" s="148" t="s">
        <v>70</v>
      </c>
      <c r="E3988" s="148">
        <v>364223.99999996991</v>
      </c>
      <c r="F3988" s="148" t="s">
        <v>37</v>
      </c>
    </row>
    <row r="3989" spans="1:6" ht="15.75">
      <c r="A3989" t="str">
        <f t="shared" si="62"/>
        <v>Mex (VD)Non renseignéECS</v>
      </c>
      <c r="C3989" s="148" t="s">
        <v>632</v>
      </c>
      <c r="D3989" s="148" t="s">
        <v>696</v>
      </c>
      <c r="E3989" s="148" t="e">
        <v>#N/A</v>
      </c>
      <c r="F3989" s="148" t="s">
        <v>37</v>
      </c>
    </row>
    <row r="3990" spans="1:6" ht="15.75">
      <c r="A3990" t="str">
        <f t="shared" si="62"/>
        <v>Mex (VD)PACECS</v>
      </c>
      <c r="C3990" s="148" t="s">
        <v>632</v>
      </c>
      <c r="D3990" s="148" t="s">
        <v>69</v>
      </c>
      <c r="E3990" s="148">
        <v>18111.785953170001</v>
      </c>
      <c r="F3990" s="148" t="s">
        <v>37</v>
      </c>
    </row>
    <row r="3991" spans="1:6" ht="15.75">
      <c r="A3991" t="str">
        <f t="shared" si="62"/>
        <v>Mex (VD)SolaireECS</v>
      </c>
      <c r="C3991" s="148" t="s">
        <v>632</v>
      </c>
      <c r="D3991" s="148" t="s">
        <v>240</v>
      </c>
      <c r="E3991" s="148">
        <v>76381.200000000012</v>
      </c>
      <c r="F3991" s="148" t="s">
        <v>37</v>
      </c>
    </row>
    <row r="3992" spans="1:6" ht="15.75">
      <c r="A3992" t="str">
        <f t="shared" si="62"/>
        <v>MiesAutre agent énergétiqueECS</v>
      </c>
      <c r="C3992" s="148" t="s">
        <v>507</v>
      </c>
      <c r="D3992" s="148" t="s">
        <v>245</v>
      </c>
      <c r="E3992" s="148" t="e">
        <v>#N/A</v>
      </c>
      <c r="F3992" s="148" t="s">
        <v>37</v>
      </c>
    </row>
    <row r="3993" spans="1:6" ht="15.75">
      <c r="A3993" t="str">
        <f t="shared" si="62"/>
        <v>MiesBoisECS</v>
      </c>
      <c r="C3993" s="148" t="s">
        <v>507</v>
      </c>
      <c r="D3993" s="148" t="s">
        <v>66</v>
      </c>
      <c r="E3993" s="148">
        <v>62188.823529409994</v>
      </c>
      <c r="F3993" s="148" t="s">
        <v>37</v>
      </c>
    </row>
    <row r="3994" spans="1:6" ht="15.75">
      <c r="A3994" t="str">
        <f t="shared" si="62"/>
        <v>MiesCADECS</v>
      </c>
      <c r="C3994" s="148" t="s">
        <v>507</v>
      </c>
      <c r="D3994" s="148" t="s">
        <v>242</v>
      </c>
      <c r="E3994" s="148" t="e">
        <v>#N/A</v>
      </c>
      <c r="F3994" s="148" t="s">
        <v>37</v>
      </c>
    </row>
    <row r="3995" spans="1:6" ht="15.75">
      <c r="A3995" t="str">
        <f t="shared" si="62"/>
        <v>MiesElectricitéECS</v>
      </c>
      <c r="C3995" s="148" t="s">
        <v>507</v>
      </c>
      <c r="D3995" s="148" t="s">
        <v>97</v>
      </c>
      <c r="E3995" s="148">
        <v>514636.8888889199</v>
      </c>
      <c r="F3995" s="148" t="s">
        <v>37</v>
      </c>
    </row>
    <row r="3996" spans="1:6" ht="15.75">
      <c r="A3996" t="str">
        <f t="shared" si="62"/>
        <v>MiesGazECS</v>
      </c>
      <c r="C3996" s="148" t="s">
        <v>507</v>
      </c>
      <c r="D3996" s="148" t="s">
        <v>239</v>
      </c>
      <c r="E3996" s="148">
        <v>201959.27365729</v>
      </c>
      <c r="F3996" s="148" t="s">
        <v>37</v>
      </c>
    </row>
    <row r="3997" spans="1:6" ht="15.75">
      <c r="A3997" t="str">
        <f t="shared" si="62"/>
        <v>MiesMazoutECS</v>
      </c>
      <c r="C3997" s="148" t="s">
        <v>507</v>
      </c>
      <c r="D3997" s="148" t="s">
        <v>70</v>
      </c>
      <c r="E3997" s="148">
        <v>1648402.8235294304</v>
      </c>
      <c r="F3997" s="148" t="s">
        <v>37</v>
      </c>
    </row>
    <row r="3998" spans="1:6" ht="15.75">
      <c r="A3998" t="str">
        <f t="shared" si="62"/>
        <v>MiesNon renseignéECS</v>
      </c>
      <c r="C3998" s="148" t="s">
        <v>507</v>
      </c>
      <c r="D3998" s="148" t="s">
        <v>696</v>
      </c>
      <c r="E3998" s="148">
        <v>0</v>
      </c>
      <c r="F3998" s="148" t="s">
        <v>37</v>
      </c>
    </row>
    <row r="3999" spans="1:6" ht="15.75">
      <c r="A3999" t="str">
        <f t="shared" si="62"/>
        <v>MiesPACECS</v>
      </c>
      <c r="C3999" s="148" t="s">
        <v>507</v>
      </c>
      <c r="D3999" s="148" t="s">
        <v>69</v>
      </c>
      <c r="E3999" s="148">
        <v>107850.51740371002</v>
      </c>
      <c r="F3999" s="148" t="s">
        <v>37</v>
      </c>
    </row>
    <row r="4000" spans="1:6" ht="15.75">
      <c r="A4000" t="str">
        <f t="shared" si="62"/>
        <v>MiesSolaireECS</v>
      </c>
      <c r="C4000" s="148" t="s">
        <v>507</v>
      </c>
      <c r="D4000" s="148" t="s">
        <v>240</v>
      </c>
      <c r="E4000" s="148">
        <v>279854.40000000002</v>
      </c>
      <c r="F4000" s="148" t="s">
        <v>37</v>
      </c>
    </row>
    <row r="4001" spans="1:6" ht="15.75">
      <c r="A4001" t="str">
        <f t="shared" si="62"/>
        <v>MissyBoisECS</v>
      </c>
      <c r="C4001" s="148" t="s">
        <v>508</v>
      </c>
      <c r="D4001" s="148" t="s">
        <v>66</v>
      </c>
      <c r="E4001" s="148">
        <v>70350.933333330002</v>
      </c>
      <c r="F4001" s="148" t="s">
        <v>37</v>
      </c>
    </row>
    <row r="4002" spans="1:6" ht="15.75">
      <c r="A4002" t="str">
        <f t="shared" si="62"/>
        <v>MissyCADECS</v>
      </c>
      <c r="C4002" s="148" t="s">
        <v>508</v>
      </c>
      <c r="D4002" s="148" t="s">
        <v>242</v>
      </c>
      <c r="E4002" s="148">
        <v>6808.2000000000007</v>
      </c>
      <c r="F4002" s="148" t="s">
        <v>37</v>
      </c>
    </row>
    <row r="4003" spans="1:6" ht="15.75">
      <c r="A4003" t="str">
        <f t="shared" si="62"/>
        <v>MissyElectricitéECS</v>
      </c>
      <c r="C4003" s="148" t="s">
        <v>508</v>
      </c>
      <c r="D4003" s="148" t="s">
        <v>97</v>
      </c>
      <c r="E4003" s="148">
        <v>112752.88888888</v>
      </c>
      <c r="F4003" s="148" t="s">
        <v>37</v>
      </c>
    </row>
    <row r="4004" spans="1:6" ht="15.75">
      <c r="A4004" t="str">
        <f t="shared" si="62"/>
        <v>MissyGazECS</v>
      </c>
      <c r="C4004" s="148" t="s">
        <v>508</v>
      </c>
      <c r="D4004" s="148" t="s">
        <v>239</v>
      </c>
      <c r="E4004" s="148">
        <v>7392</v>
      </c>
      <c r="F4004" s="148" t="s">
        <v>37</v>
      </c>
    </row>
    <row r="4005" spans="1:6" ht="15.75">
      <c r="A4005" t="str">
        <f t="shared" si="62"/>
        <v>MissyMazoutECS</v>
      </c>
      <c r="C4005" s="148" t="s">
        <v>508</v>
      </c>
      <c r="D4005" s="148" t="s">
        <v>70</v>
      </c>
      <c r="E4005" s="148">
        <v>429920.23529411992</v>
      </c>
      <c r="F4005" s="148" t="s">
        <v>37</v>
      </c>
    </row>
    <row r="4006" spans="1:6" ht="15.75">
      <c r="A4006" t="str">
        <f t="shared" si="62"/>
        <v>MissyNon renseignéECS</v>
      </c>
      <c r="C4006" s="148" t="s">
        <v>508</v>
      </c>
      <c r="D4006" s="148" t="s">
        <v>696</v>
      </c>
      <c r="E4006" s="148">
        <v>0</v>
      </c>
      <c r="F4006" s="148" t="s">
        <v>37</v>
      </c>
    </row>
    <row r="4007" spans="1:6" ht="15.75">
      <c r="A4007" t="str">
        <f t="shared" si="62"/>
        <v>MissyPACECS</v>
      </c>
      <c r="C4007" s="148" t="s">
        <v>508</v>
      </c>
      <c r="D4007" s="148" t="s">
        <v>69</v>
      </c>
      <c r="E4007" s="148">
        <v>19037.51839465</v>
      </c>
      <c r="F4007" s="148" t="s">
        <v>37</v>
      </c>
    </row>
    <row r="4008" spans="1:6" ht="15.75">
      <c r="A4008" t="str">
        <f t="shared" si="62"/>
        <v>MissySolaireECS</v>
      </c>
      <c r="C4008" s="148" t="s">
        <v>508</v>
      </c>
      <c r="D4008" s="148" t="s">
        <v>240</v>
      </c>
      <c r="E4008" s="148">
        <v>33345.200000000004</v>
      </c>
      <c r="F4008" s="148" t="s">
        <v>37</v>
      </c>
    </row>
    <row r="4009" spans="1:6" ht="15.75">
      <c r="A4009" t="str">
        <f t="shared" si="62"/>
        <v>MissyCharbonECS</v>
      </c>
      <c r="C4009" s="148" t="s">
        <v>508</v>
      </c>
      <c r="D4009" s="148" t="s">
        <v>695</v>
      </c>
      <c r="E4009" s="148" t="e">
        <v>#N/A</v>
      </c>
      <c r="F4009" s="148" t="s">
        <v>37</v>
      </c>
    </row>
    <row r="4010" spans="1:6" ht="15.75">
      <c r="A4010" t="str">
        <f t="shared" si="62"/>
        <v>MoiryBoisECS</v>
      </c>
      <c r="C4010" s="148" t="s">
        <v>509</v>
      </c>
      <c r="D4010" s="148" t="s">
        <v>66</v>
      </c>
      <c r="E4010" s="148">
        <v>117894.38431373</v>
      </c>
      <c r="F4010" s="148" t="s">
        <v>37</v>
      </c>
    </row>
    <row r="4011" spans="1:6" ht="15.75">
      <c r="A4011" t="str">
        <f t="shared" si="62"/>
        <v>MoiryCADECS</v>
      </c>
      <c r="C4011" s="148" t="s">
        <v>509</v>
      </c>
      <c r="D4011" s="148" t="s">
        <v>242</v>
      </c>
      <c r="E4011" s="148">
        <v>91376.320000000007</v>
      </c>
      <c r="F4011" s="148" t="s">
        <v>37</v>
      </c>
    </row>
    <row r="4012" spans="1:6" ht="15.75">
      <c r="A4012" t="str">
        <f t="shared" si="62"/>
        <v>MoiryElectricitéECS</v>
      </c>
      <c r="C4012" s="148" t="s">
        <v>509</v>
      </c>
      <c r="D4012" s="148" t="s">
        <v>97</v>
      </c>
      <c r="E4012" s="148">
        <v>64773.333333340001</v>
      </c>
      <c r="F4012" s="148" t="s">
        <v>37</v>
      </c>
    </row>
    <row r="4013" spans="1:6" ht="15.75">
      <c r="A4013" t="str">
        <f t="shared" si="62"/>
        <v>MoiryGazECS</v>
      </c>
      <c r="C4013" s="148" t="s">
        <v>509</v>
      </c>
      <c r="D4013" s="148" t="s">
        <v>239</v>
      </c>
      <c r="E4013" s="148">
        <v>619.29411764999998</v>
      </c>
      <c r="F4013" s="148" t="s">
        <v>37</v>
      </c>
    </row>
    <row r="4014" spans="1:6" ht="15.75">
      <c r="A4014" t="str">
        <f t="shared" si="62"/>
        <v>MoiryMazoutECS</v>
      </c>
      <c r="C4014" s="148" t="s">
        <v>509</v>
      </c>
      <c r="D4014" s="148" t="s">
        <v>70</v>
      </c>
      <c r="E4014" s="148">
        <v>174209.41176469999</v>
      </c>
      <c r="F4014" s="148" t="s">
        <v>37</v>
      </c>
    </row>
    <row r="4015" spans="1:6" ht="15.75">
      <c r="A4015" t="str">
        <f t="shared" si="62"/>
        <v>MoiryNon renseignéECS</v>
      </c>
      <c r="C4015" s="148" t="s">
        <v>509</v>
      </c>
      <c r="D4015" s="148" t="s">
        <v>696</v>
      </c>
      <c r="E4015" s="148">
        <v>0</v>
      </c>
      <c r="F4015" s="148" t="s">
        <v>37</v>
      </c>
    </row>
    <row r="4016" spans="1:6" ht="15.75">
      <c r="A4016" t="str">
        <f t="shared" si="62"/>
        <v>MoiryPACECS</v>
      </c>
      <c r="C4016" s="148" t="s">
        <v>509</v>
      </c>
      <c r="D4016" s="148" t="s">
        <v>69</v>
      </c>
      <c r="E4016" s="148">
        <v>6102.9698996699999</v>
      </c>
      <c r="F4016" s="148" t="s">
        <v>37</v>
      </c>
    </row>
    <row r="4017" spans="1:6" ht="15.75">
      <c r="A4017" t="str">
        <f t="shared" si="62"/>
        <v>MoirySolaireECS</v>
      </c>
      <c r="C4017" s="148" t="s">
        <v>509</v>
      </c>
      <c r="D4017" s="148" t="s">
        <v>240</v>
      </c>
      <c r="E4017" s="148">
        <v>10199</v>
      </c>
      <c r="F4017" s="148" t="s">
        <v>37</v>
      </c>
    </row>
    <row r="4018" spans="1:6" ht="15.75">
      <c r="A4018" t="str">
        <f t="shared" si="62"/>
        <v>Mollens (VD)BoisECS</v>
      </c>
      <c r="C4018" s="148" t="s">
        <v>631</v>
      </c>
      <c r="D4018" s="148" t="s">
        <v>66</v>
      </c>
      <c r="E4018" s="148">
        <v>170005.17333331998</v>
      </c>
      <c r="F4018" s="148" t="s">
        <v>37</v>
      </c>
    </row>
    <row r="4019" spans="1:6" ht="15.75">
      <c r="A4019" t="str">
        <f t="shared" si="62"/>
        <v>Mollens (VD)ElectricitéECS</v>
      </c>
      <c r="C4019" s="148" t="s">
        <v>631</v>
      </c>
      <c r="D4019" s="148" t="s">
        <v>97</v>
      </c>
      <c r="E4019" s="148">
        <v>174835.11111111002</v>
      </c>
      <c r="F4019" s="148" t="s">
        <v>37</v>
      </c>
    </row>
    <row r="4020" spans="1:6" ht="15.75">
      <c r="A4020" t="str">
        <f t="shared" si="62"/>
        <v>Mollens (VD)GazECS</v>
      </c>
      <c r="C4020" s="148" t="s">
        <v>631</v>
      </c>
      <c r="D4020" s="148" t="s">
        <v>239</v>
      </c>
      <c r="E4020" s="148">
        <v>211577.30946292001</v>
      </c>
      <c r="F4020" s="148" t="s">
        <v>37</v>
      </c>
    </row>
    <row r="4021" spans="1:6" ht="15.75">
      <c r="A4021" t="str">
        <f t="shared" si="62"/>
        <v>Mollens (VD)MazoutECS</v>
      </c>
      <c r="C4021" s="148" t="s">
        <v>631</v>
      </c>
      <c r="D4021" s="148" t="s">
        <v>70</v>
      </c>
      <c r="E4021" s="148">
        <v>199096.47058821999</v>
      </c>
      <c r="F4021" s="148" t="s">
        <v>37</v>
      </c>
    </row>
    <row r="4022" spans="1:6" ht="15.75">
      <c r="A4022" t="str">
        <f t="shared" si="62"/>
        <v>Mollens (VD)Non renseignéECS</v>
      </c>
      <c r="C4022" s="148" t="s">
        <v>631</v>
      </c>
      <c r="D4022" s="148" t="s">
        <v>696</v>
      </c>
      <c r="E4022" s="148">
        <v>0</v>
      </c>
      <c r="F4022" s="148" t="s">
        <v>37</v>
      </c>
    </row>
    <row r="4023" spans="1:6" ht="15.75">
      <c r="A4023" t="str">
        <f t="shared" si="62"/>
        <v>Mollens (VD)PACECS</v>
      </c>
      <c r="C4023" s="148" t="s">
        <v>631</v>
      </c>
      <c r="D4023" s="148" t="s">
        <v>69</v>
      </c>
      <c r="E4023" s="148">
        <v>6409.8461538499996</v>
      </c>
      <c r="F4023" s="148" t="s">
        <v>37</v>
      </c>
    </row>
    <row r="4024" spans="1:6" ht="15.75">
      <c r="A4024" t="str">
        <f t="shared" si="62"/>
        <v>Mollens (VD)SolaireECS</v>
      </c>
      <c r="C4024" s="148" t="s">
        <v>631</v>
      </c>
      <c r="D4024" s="148" t="s">
        <v>240</v>
      </c>
      <c r="E4024" s="148">
        <v>12101.6</v>
      </c>
      <c r="F4024" s="148" t="s">
        <v>37</v>
      </c>
    </row>
    <row r="4025" spans="1:6" ht="15.75">
      <c r="A4025" t="str">
        <f t="shared" si="62"/>
        <v>MolondinAutre agent énergétiqueECS</v>
      </c>
      <c r="C4025" s="148" t="s">
        <v>510</v>
      </c>
      <c r="D4025" s="148" t="s">
        <v>245</v>
      </c>
      <c r="E4025" s="148" t="e">
        <v>#N/A</v>
      </c>
      <c r="F4025" s="148" t="s">
        <v>37</v>
      </c>
    </row>
    <row r="4026" spans="1:6" ht="15.75">
      <c r="A4026" t="str">
        <f t="shared" si="62"/>
        <v>MolondinBoisECS</v>
      </c>
      <c r="C4026" s="148" t="s">
        <v>510</v>
      </c>
      <c r="D4026" s="148" t="s">
        <v>66</v>
      </c>
      <c r="E4026" s="148">
        <v>169448.20392157999</v>
      </c>
      <c r="F4026" s="148" t="s">
        <v>37</v>
      </c>
    </row>
    <row r="4027" spans="1:6" ht="15.75">
      <c r="A4027" t="str">
        <f t="shared" si="62"/>
        <v>MolondinCADECS</v>
      </c>
      <c r="C4027" s="148" t="s">
        <v>510</v>
      </c>
      <c r="D4027" s="148" t="s">
        <v>242</v>
      </c>
      <c r="E4027" s="148" t="e">
        <v>#N/A</v>
      </c>
      <c r="F4027" s="148" t="s">
        <v>37</v>
      </c>
    </row>
    <row r="4028" spans="1:6" ht="15.75">
      <c r="A4028" t="str">
        <f t="shared" si="62"/>
        <v>MolondinElectricitéECS</v>
      </c>
      <c r="C4028" s="148" t="s">
        <v>510</v>
      </c>
      <c r="D4028" s="148" t="s">
        <v>97</v>
      </c>
      <c r="E4028" s="148">
        <v>88702.444444439985</v>
      </c>
      <c r="F4028" s="148" t="s">
        <v>37</v>
      </c>
    </row>
    <row r="4029" spans="1:6" ht="15.75">
      <c r="A4029" t="str">
        <f t="shared" si="62"/>
        <v>MolondinGazECS</v>
      </c>
      <c r="C4029" s="148" t="s">
        <v>510</v>
      </c>
      <c r="D4029" s="148" t="s">
        <v>239</v>
      </c>
      <c r="E4029" s="148">
        <v>8719.7442455199998</v>
      </c>
      <c r="F4029" s="148" t="s">
        <v>37</v>
      </c>
    </row>
    <row r="4030" spans="1:6" ht="15.75">
      <c r="A4030" t="str">
        <f t="shared" si="62"/>
        <v>MolondinMazoutECS</v>
      </c>
      <c r="C4030" s="148" t="s">
        <v>510</v>
      </c>
      <c r="D4030" s="148" t="s">
        <v>70</v>
      </c>
      <c r="E4030" s="148">
        <v>341517.64705880993</v>
      </c>
      <c r="F4030" s="148" t="s">
        <v>37</v>
      </c>
    </row>
    <row r="4031" spans="1:6" ht="15.75">
      <c r="A4031" t="str">
        <f t="shared" si="62"/>
        <v>MolondinNon renseignéECS</v>
      </c>
      <c r="C4031" s="148" t="s">
        <v>510</v>
      </c>
      <c r="D4031" s="148" t="s">
        <v>696</v>
      </c>
      <c r="E4031" s="148">
        <v>0</v>
      </c>
      <c r="F4031" s="148" t="s">
        <v>37</v>
      </c>
    </row>
    <row r="4032" spans="1:6" ht="15.75">
      <c r="A4032" t="str">
        <f t="shared" si="62"/>
        <v>MolondinPACECS</v>
      </c>
      <c r="C4032" s="148" t="s">
        <v>510</v>
      </c>
      <c r="D4032" s="148" t="s">
        <v>69</v>
      </c>
      <c r="E4032" s="148">
        <v>6513.2307692199993</v>
      </c>
      <c r="F4032" s="148" t="s">
        <v>37</v>
      </c>
    </row>
    <row r="4033" spans="1:6" ht="15.75">
      <c r="A4033" t="str">
        <f t="shared" si="62"/>
        <v>MolondinSolaireECS</v>
      </c>
      <c r="C4033" s="148" t="s">
        <v>510</v>
      </c>
      <c r="D4033" s="148" t="s">
        <v>240</v>
      </c>
      <c r="E4033" s="148">
        <v>15152.2</v>
      </c>
      <c r="F4033" s="148" t="s">
        <v>37</v>
      </c>
    </row>
    <row r="4034" spans="1:6" ht="15.75">
      <c r="A4034" t="str">
        <f t="shared" si="62"/>
        <v>Mont-la-VilleBoisECS</v>
      </c>
      <c r="C4034" s="148" t="s">
        <v>629</v>
      </c>
      <c r="D4034" s="148" t="s">
        <v>66</v>
      </c>
      <c r="E4034" s="148">
        <v>112935.74901960998</v>
      </c>
      <c r="F4034" s="148" t="s">
        <v>37</v>
      </c>
    </row>
    <row r="4035" spans="1:6" ht="15.75">
      <c r="A4035" t="str">
        <f t="shared" si="62"/>
        <v>Mont-la-VilleElectricitéECS</v>
      </c>
      <c r="C4035" s="148" t="s">
        <v>629</v>
      </c>
      <c r="D4035" s="148" t="s">
        <v>97</v>
      </c>
      <c r="E4035" s="148">
        <v>257918.88888889004</v>
      </c>
      <c r="F4035" s="148" t="s">
        <v>37</v>
      </c>
    </row>
    <row r="4036" spans="1:6" ht="15.75">
      <c r="A4036" t="str">
        <f t="shared" si="62"/>
        <v>Mont-la-VilleGazECS</v>
      </c>
      <c r="C4036" s="148" t="s">
        <v>629</v>
      </c>
      <c r="D4036" s="148" t="s">
        <v>239</v>
      </c>
      <c r="E4036" s="148">
        <v>57966.928388770008</v>
      </c>
      <c r="F4036" s="148" t="s">
        <v>37</v>
      </c>
    </row>
    <row r="4037" spans="1:6" ht="15.75">
      <c r="A4037" t="str">
        <f t="shared" si="62"/>
        <v>Mont-la-VilleMazoutECS</v>
      </c>
      <c r="C4037" s="148" t="s">
        <v>629</v>
      </c>
      <c r="D4037" s="148" t="s">
        <v>70</v>
      </c>
      <c r="E4037" s="148">
        <v>306277.17647061008</v>
      </c>
      <c r="F4037" s="148" t="s">
        <v>37</v>
      </c>
    </row>
    <row r="4038" spans="1:6" ht="15.75">
      <c r="A4038" t="str">
        <f t="shared" si="62"/>
        <v>Mont-la-VilleNon renseignéECS</v>
      </c>
      <c r="C4038" s="148" t="s">
        <v>629</v>
      </c>
      <c r="D4038" s="148" t="s">
        <v>696</v>
      </c>
      <c r="E4038" s="148">
        <v>0</v>
      </c>
      <c r="F4038" s="148" t="s">
        <v>37</v>
      </c>
    </row>
    <row r="4039" spans="1:6" ht="15.75">
      <c r="A4039" t="str">
        <f t="shared" si="62"/>
        <v>Mont-la-VillePACECS</v>
      </c>
      <c r="C4039" s="148" t="s">
        <v>629</v>
      </c>
      <c r="D4039" s="148" t="s">
        <v>69</v>
      </c>
      <c r="E4039" s="148">
        <v>9890.6488294299979</v>
      </c>
      <c r="F4039" s="148" t="s">
        <v>37</v>
      </c>
    </row>
    <row r="4040" spans="1:6" ht="15.75">
      <c r="A4040" t="str">
        <f t="shared" si="62"/>
        <v>Mont-la-VilleAutre agent énergétiqueECS</v>
      </c>
      <c r="C4040" s="148" t="s">
        <v>629</v>
      </c>
      <c r="D4040" s="148" t="s">
        <v>245</v>
      </c>
      <c r="E4040" s="148">
        <v>263.52941176000002</v>
      </c>
      <c r="F4040" s="148" t="s">
        <v>37</v>
      </c>
    </row>
    <row r="4041" spans="1:6" ht="15.75">
      <c r="A4041" t="str">
        <f t="shared" si="62"/>
        <v>Mont-la-VilleSolaireECS</v>
      </c>
      <c r="C4041" s="148" t="s">
        <v>629</v>
      </c>
      <c r="D4041" s="148" t="s">
        <v>240</v>
      </c>
      <c r="E4041" s="148">
        <v>90692.700000000012</v>
      </c>
      <c r="F4041" s="148" t="s">
        <v>37</v>
      </c>
    </row>
    <row r="4042" spans="1:6" ht="15.75">
      <c r="A4042" t="str">
        <f t="shared" si="62"/>
        <v>Mont-sur-RolleBoisECS</v>
      </c>
      <c r="C4042" s="148" t="s">
        <v>628</v>
      </c>
      <c r="D4042" s="148" t="s">
        <v>66</v>
      </c>
      <c r="E4042" s="148">
        <v>218021.06666664997</v>
      </c>
      <c r="F4042" s="148" t="s">
        <v>37</v>
      </c>
    </row>
    <row r="4043" spans="1:6" ht="15.75">
      <c r="A4043" t="str">
        <f t="shared" si="62"/>
        <v>Mont-sur-RolleElectricitéECS</v>
      </c>
      <c r="C4043" s="148" t="s">
        <v>628</v>
      </c>
      <c r="D4043" s="148" t="s">
        <v>97</v>
      </c>
      <c r="E4043" s="148">
        <v>456392.22222217004</v>
      </c>
      <c r="F4043" s="148" t="s">
        <v>37</v>
      </c>
    </row>
    <row r="4044" spans="1:6" ht="15.75">
      <c r="A4044" t="str">
        <f t="shared" si="62"/>
        <v>Mont-sur-RolleGazECS</v>
      </c>
      <c r="C4044" s="148" t="s">
        <v>628</v>
      </c>
      <c r="D4044" s="148" t="s">
        <v>239</v>
      </c>
      <c r="E4044" s="148">
        <v>1521552.3229326201</v>
      </c>
      <c r="F4044" s="148" t="s">
        <v>37</v>
      </c>
    </row>
    <row r="4045" spans="1:6" ht="15.75">
      <c r="A4045" t="str">
        <f t="shared" si="62"/>
        <v>Mont-sur-RolleMazoutECS</v>
      </c>
      <c r="C4045" s="148" t="s">
        <v>628</v>
      </c>
      <c r="D4045" s="148" t="s">
        <v>70</v>
      </c>
      <c r="E4045" s="148">
        <v>1200625.8352941403</v>
      </c>
      <c r="F4045" s="148" t="s">
        <v>37</v>
      </c>
    </row>
    <row r="4046" spans="1:6" ht="15.75">
      <c r="A4046" t="str">
        <f t="shared" si="62"/>
        <v>Mont-sur-RolleNon renseignéECS</v>
      </c>
      <c r="C4046" s="148" t="s">
        <v>628</v>
      </c>
      <c r="D4046" s="148" t="s">
        <v>696</v>
      </c>
      <c r="E4046" s="148">
        <v>0</v>
      </c>
      <c r="F4046" s="148" t="s">
        <v>37</v>
      </c>
    </row>
    <row r="4047" spans="1:6" ht="15.75">
      <c r="A4047" t="str">
        <f t="shared" si="62"/>
        <v>Mont-sur-RollePACECS</v>
      </c>
      <c r="C4047" s="148" t="s">
        <v>628</v>
      </c>
      <c r="D4047" s="148" t="s">
        <v>69</v>
      </c>
      <c r="E4047" s="148">
        <v>46631.857425979993</v>
      </c>
      <c r="F4047" s="148" t="s">
        <v>37</v>
      </c>
    </row>
    <row r="4048" spans="1:6" ht="15.75">
      <c r="A4048" t="str">
        <f t="shared" si="62"/>
        <v>Mont-sur-RolleAutre agent énergétiqueECS</v>
      </c>
      <c r="C4048" s="148" t="s">
        <v>628</v>
      </c>
      <c r="D4048" s="148" t="s">
        <v>245</v>
      </c>
      <c r="E4048" s="148">
        <v>4792.9411764699998</v>
      </c>
      <c r="F4048" s="148" t="s">
        <v>37</v>
      </c>
    </row>
    <row r="4049" spans="1:6" ht="15.75">
      <c r="A4049" t="str">
        <f t="shared" si="62"/>
        <v>Mont-sur-RolleCharbonECS</v>
      </c>
      <c r="C4049" s="148" t="s">
        <v>628</v>
      </c>
      <c r="D4049" s="148" t="s">
        <v>695</v>
      </c>
      <c r="E4049" s="148" t="e">
        <v>#N/A</v>
      </c>
      <c r="F4049" s="148" t="s">
        <v>37</v>
      </c>
    </row>
    <row r="4050" spans="1:6" ht="15.75">
      <c r="A4050" t="str">
        <f t="shared" si="62"/>
        <v>Mont-sur-RolleSolaireECS</v>
      </c>
      <c r="C4050" s="148" t="s">
        <v>628</v>
      </c>
      <c r="D4050" s="148" t="s">
        <v>240</v>
      </c>
      <c r="E4050" s="148">
        <v>594484.04235293996</v>
      </c>
      <c r="F4050" s="148" t="s">
        <v>37</v>
      </c>
    </row>
    <row r="4051" spans="1:6" ht="15.75">
      <c r="A4051" t="str">
        <f t="shared" ref="A4051:A4114" si="63">_xlfn.CONCAT(C4051,D4051,F4051)</f>
        <v>Montagny-près-YverdonBoisECS</v>
      </c>
      <c r="C4051" s="148" t="s">
        <v>630</v>
      </c>
      <c r="D4051" s="148" t="s">
        <v>66</v>
      </c>
      <c r="E4051" s="148">
        <v>42925.866666670001</v>
      </c>
      <c r="F4051" s="148" t="s">
        <v>37</v>
      </c>
    </row>
    <row r="4052" spans="1:6" ht="15.75">
      <c r="A4052" t="str">
        <f t="shared" si="63"/>
        <v>Montagny-près-YverdonElectricitéECS</v>
      </c>
      <c r="C4052" s="148" t="s">
        <v>630</v>
      </c>
      <c r="D4052" s="148" t="s">
        <v>97</v>
      </c>
      <c r="E4052" s="148">
        <v>384674.88888887002</v>
      </c>
      <c r="F4052" s="148" t="s">
        <v>37</v>
      </c>
    </row>
    <row r="4053" spans="1:6" ht="15.75">
      <c r="A4053" t="str">
        <f t="shared" si="63"/>
        <v>Montagny-près-YverdonGazECS</v>
      </c>
      <c r="C4053" s="148" t="s">
        <v>630</v>
      </c>
      <c r="D4053" s="148" t="s">
        <v>239</v>
      </c>
      <c r="E4053" s="148">
        <v>603537.81585681997</v>
      </c>
      <c r="F4053" s="148" t="s">
        <v>37</v>
      </c>
    </row>
    <row r="4054" spans="1:6" ht="15.75">
      <c r="A4054" t="str">
        <f t="shared" si="63"/>
        <v>Montagny-près-YverdonMazoutECS</v>
      </c>
      <c r="C4054" s="148" t="s">
        <v>630</v>
      </c>
      <c r="D4054" s="148" t="s">
        <v>70</v>
      </c>
      <c r="E4054" s="148">
        <v>448629.59655378002</v>
      </c>
      <c r="F4054" s="148" t="s">
        <v>37</v>
      </c>
    </row>
    <row r="4055" spans="1:6" ht="15.75">
      <c r="A4055" t="str">
        <f t="shared" si="63"/>
        <v>Montagny-près-YverdonNon renseignéECS</v>
      </c>
      <c r="C4055" s="148" t="s">
        <v>630</v>
      </c>
      <c r="D4055" s="148" t="s">
        <v>696</v>
      </c>
      <c r="E4055" s="148">
        <v>0</v>
      </c>
      <c r="F4055" s="148" t="s">
        <v>37</v>
      </c>
    </row>
    <row r="4056" spans="1:6" ht="15.75">
      <c r="A4056" t="str">
        <f t="shared" si="63"/>
        <v>Montagny-près-YverdonPACECS</v>
      </c>
      <c r="C4056" s="148" t="s">
        <v>630</v>
      </c>
      <c r="D4056" s="148" t="s">
        <v>69</v>
      </c>
      <c r="E4056" s="148">
        <v>36126.356187280006</v>
      </c>
      <c r="F4056" s="148" t="s">
        <v>37</v>
      </c>
    </row>
    <row r="4057" spans="1:6" ht="15.75">
      <c r="A4057" t="str">
        <f t="shared" si="63"/>
        <v>Montagny-près-YverdonSolaireECS</v>
      </c>
      <c r="C4057" s="148" t="s">
        <v>630</v>
      </c>
      <c r="D4057" s="148" t="s">
        <v>240</v>
      </c>
      <c r="E4057" s="148">
        <v>81982.600000000006</v>
      </c>
      <c r="F4057" s="148" t="s">
        <v>37</v>
      </c>
    </row>
    <row r="4058" spans="1:6" ht="15.75">
      <c r="A4058" t="str">
        <f t="shared" si="63"/>
        <v>MontanaireAutre agent énergétiqueECS</v>
      </c>
      <c r="C4058" s="148" t="s">
        <v>511</v>
      </c>
      <c r="D4058" s="148" t="s">
        <v>245</v>
      </c>
      <c r="E4058" s="148">
        <v>4918.1176470600003</v>
      </c>
      <c r="F4058" s="148" t="s">
        <v>37</v>
      </c>
    </row>
    <row r="4059" spans="1:6" ht="15.75">
      <c r="A4059" t="str">
        <f t="shared" si="63"/>
        <v>MontanaireBoisECS</v>
      </c>
      <c r="C4059" s="148" t="s">
        <v>511</v>
      </c>
      <c r="D4059" s="148" t="s">
        <v>66</v>
      </c>
      <c r="E4059" s="148">
        <v>616687.98745099001</v>
      </c>
      <c r="F4059" s="148" t="s">
        <v>37</v>
      </c>
    </row>
    <row r="4060" spans="1:6" ht="15.75">
      <c r="A4060" t="str">
        <f t="shared" si="63"/>
        <v>MontanaireCADECS</v>
      </c>
      <c r="C4060" s="148" t="s">
        <v>511</v>
      </c>
      <c r="D4060" s="148" t="s">
        <v>242</v>
      </c>
      <c r="E4060" s="148">
        <v>25256</v>
      </c>
      <c r="F4060" s="148" t="s">
        <v>37</v>
      </c>
    </row>
    <row r="4061" spans="1:6" ht="15.75">
      <c r="A4061" t="str">
        <f t="shared" si="63"/>
        <v>MontanaireCharbonECS</v>
      </c>
      <c r="C4061" s="148" t="s">
        <v>511</v>
      </c>
      <c r="D4061" s="148" t="s">
        <v>695</v>
      </c>
      <c r="E4061" s="148" t="e">
        <v>#N/A</v>
      </c>
      <c r="F4061" s="148" t="s">
        <v>37</v>
      </c>
    </row>
    <row r="4062" spans="1:6" ht="15.75">
      <c r="A4062" t="str">
        <f t="shared" si="63"/>
        <v>MontanaireElectricitéECS</v>
      </c>
      <c r="C4062" s="148" t="s">
        <v>511</v>
      </c>
      <c r="D4062" s="148" t="s">
        <v>97</v>
      </c>
      <c r="E4062" s="148">
        <v>1179587.4222222504</v>
      </c>
      <c r="F4062" s="148" t="s">
        <v>37</v>
      </c>
    </row>
    <row r="4063" spans="1:6" ht="15.75">
      <c r="A4063" t="str">
        <f t="shared" si="63"/>
        <v>MontanaireGazECS</v>
      </c>
      <c r="C4063" s="148" t="s">
        <v>511</v>
      </c>
      <c r="D4063" s="148" t="s">
        <v>239</v>
      </c>
      <c r="E4063" s="148">
        <v>720014.38209721004</v>
      </c>
      <c r="F4063" s="148" t="s">
        <v>37</v>
      </c>
    </row>
    <row r="4064" spans="1:6" ht="15.75">
      <c r="A4064" t="str">
        <f t="shared" si="63"/>
        <v>MontanaireMazoutECS</v>
      </c>
      <c r="C4064" s="148" t="s">
        <v>511</v>
      </c>
      <c r="D4064" s="148" t="s">
        <v>70</v>
      </c>
      <c r="E4064" s="148">
        <v>2006766.3601810501</v>
      </c>
      <c r="F4064" s="148" t="s">
        <v>37</v>
      </c>
    </row>
    <row r="4065" spans="1:6" ht="15.75">
      <c r="A4065" t="str">
        <f t="shared" si="63"/>
        <v>MontanaireNon renseignéECS</v>
      </c>
      <c r="C4065" s="148" t="s">
        <v>511</v>
      </c>
      <c r="D4065" s="148" t="s">
        <v>696</v>
      </c>
      <c r="E4065" s="148">
        <v>0</v>
      </c>
      <c r="F4065" s="148" t="s">
        <v>37</v>
      </c>
    </row>
    <row r="4066" spans="1:6" ht="15.75">
      <c r="A4066" t="str">
        <f t="shared" si="63"/>
        <v>MontanairePACECS</v>
      </c>
      <c r="C4066" s="148" t="s">
        <v>511</v>
      </c>
      <c r="D4066" s="148" t="s">
        <v>69</v>
      </c>
      <c r="E4066" s="148">
        <v>70071.727238949999</v>
      </c>
      <c r="F4066" s="148" t="s">
        <v>37</v>
      </c>
    </row>
    <row r="4067" spans="1:6" ht="15.75">
      <c r="A4067" t="str">
        <f t="shared" si="63"/>
        <v>MontanaireSolaireECS</v>
      </c>
      <c r="C4067" s="148" t="s">
        <v>511</v>
      </c>
      <c r="D4067" s="148" t="s">
        <v>240</v>
      </c>
      <c r="E4067" s="148">
        <v>328164.1999999999</v>
      </c>
      <c r="F4067" s="148" t="s">
        <v>37</v>
      </c>
    </row>
    <row r="4068" spans="1:6" ht="15.75">
      <c r="A4068" t="str">
        <f t="shared" si="63"/>
        <v>MontcherandBoisECS</v>
      </c>
      <c r="C4068" s="148" t="s">
        <v>512</v>
      </c>
      <c r="D4068" s="148" t="s">
        <v>66</v>
      </c>
      <c r="E4068" s="148">
        <v>48727.203137249999</v>
      </c>
      <c r="F4068" s="148" t="s">
        <v>37</v>
      </c>
    </row>
    <row r="4069" spans="1:6" ht="15.75">
      <c r="A4069" t="str">
        <f t="shared" si="63"/>
        <v>MontcherandCADECS</v>
      </c>
      <c r="C4069" s="148" t="s">
        <v>512</v>
      </c>
      <c r="D4069" s="148" t="s">
        <v>242</v>
      </c>
      <c r="E4069" s="148" t="e">
        <v>#N/A</v>
      </c>
      <c r="F4069" s="148" t="s">
        <v>37</v>
      </c>
    </row>
    <row r="4070" spans="1:6" ht="15.75">
      <c r="A4070" t="str">
        <f t="shared" si="63"/>
        <v>MontcherandElectricitéECS</v>
      </c>
      <c r="C4070" s="148" t="s">
        <v>512</v>
      </c>
      <c r="D4070" s="148" t="s">
        <v>97</v>
      </c>
      <c r="E4070" s="148">
        <v>140575.55555554002</v>
      </c>
      <c r="F4070" s="148" t="s">
        <v>37</v>
      </c>
    </row>
    <row r="4071" spans="1:6" ht="15.75">
      <c r="A4071" t="str">
        <f t="shared" si="63"/>
        <v>MontcherandGazECS</v>
      </c>
      <c r="C4071" s="148" t="s">
        <v>512</v>
      </c>
      <c r="D4071" s="148" t="s">
        <v>239</v>
      </c>
      <c r="E4071" s="148">
        <v>197815.63171355997</v>
      </c>
      <c r="F4071" s="148" t="s">
        <v>37</v>
      </c>
    </row>
    <row r="4072" spans="1:6" ht="15.75">
      <c r="A4072" t="str">
        <f t="shared" si="63"/>
        <v>MontcherandMazoutECS</v>
      </c>
      <c r="C4072" s="148" t="s">
        <v>512</v>
      </c>
      <c r="D4072" s="148" t="s">
        <v>70</v>
      </c>
      <c r="E4072" s="148">
        <v>281286.02352942998</v>
      </c>
      <c r="F4072" s="148" t="s">
        <v>37</v>
      </c>
    </row>
    <row r="4073" spans="1:6" ht="15.75">
      <c r="A4073" t="str">
        <f t="shared" si="63"/>
        <v>MontcherandNon renseignéECS</v>
      </c>
      <c r="C4073" s="148" t="s">
        <v>512</v>
      </c>
      <c r="D4073" s="148" t="s">
        <v>696</v>
      </c>
      <c r="E4073" s="148">
        <v>0</v>
      </c>
      <c r="F4073" s="148" t="s">
        <v>37</v>
      </c>
    </row>
    <row r="4074" spans="1:6" ht="15.75">
      <c r="A4074" t="str">
        <f t="shared" si="63"/>
        <v>MontcherandPACECS</v>
      </c>
      <c r="C4074" s="148" t="s">
        <v>512</v>
      </c>
      <c r="D4074" s="148" t="s">
        <v>69</v>
      </c>
      <c r="E4074" s="148">
        <v>1878.1538461499999</v>
      </c>
      <c r="F4074" s="148" t="s">
        <v>37</v>
      </c>
    </row>
    <row r="4075" spans="1:6" ht="15.75">
      <c r="A4075" t="str">
        <f t="shared" si="63"/>
        <v>MontcherandSolaireECS</v>
      </c>
      <c r="C4075" s="148" t="s">
        <v>512</v>
      </c>
      <c r="D4075" s="148" t="s">
        <v>240</v>
      </c>
      <c r="E4075" s="148">
        <v>86581.599999999977</v>
      </c>
      <c r="F4075" s="148" t="s">
        <v>37</v>
      </c>
    </row>
    <row r="4076" spans="1:6" ht="15.75">
      <c r="A4076" t="str">
        <f t="shared" si="63"/>
        <v>MontilliezBoisECS</v>
      </c>
      <c r="C4076" s="148" t="s">
        <v>513</v>
      </c>
      <c r="D4076" s="148" t="s">
        <v>66</v>
      </c>
      <c r="E4076" s="148">
        <v>202094.68862745003</v>
      </c>
      <c r="F4076" s="148" t="s">
        <v>37</v>
      </c>
    </row>
    <row r="4077" spans="1:6" ht="15.75">
      <c r="A4077" t="str">
        <f t="shared" si="63"/>
        <v>MontilliezCADECS</v>
      </c>
      <c r="C4077" s="148" t="s">
        <v>513</v>
      </c>
      <c r="D4077" s="148" t="s">
        <v>242</v>
      </c>
      <c r="E4077" s="148" t="e">
        <v>#N/A</v>
      </c>
      <c r="F4077" s="148" t="s">
        <v>37</v>
      </c>
    </row>
    <row r="4078" spans="1:6" ht="15.75">
      <c r="A4078" t="str">
        <f t="shared" si="63"/>
        <v>MontilliezElectricitéECS</v>
      </c>
      <c r="C4078" s="148" t="s">
        <v>513</v>
      </c>
      <c r="D4078" s="148" t="s">
        <v>97</v>
      </c>
      <c r="E4078" s="148">
        <v>480713.95555555</v>
      </c>
      <c r="F4078" s="148" t="s">
        <v>37</v>
      </c>
    </row>
    <row r="4079" spans="1:6" ht="15.75">
      <c r="A4079" t="str">
        <f t="shared" si="63"/>
        <v>MontilliezGazECS</v>
      </c>
      <c r="C4079" s="148" t="s">
        <v>513</v>
      </c>
      <c r="D4079" s="148" t="s">
        <v>239</v>
      </c>
      <c r="E4079" s="148">
        <v>557216.32736572006</v>
      </c>
      <c r="F4079" s="148" t="s">
        <v>37</v>
      </c>
    </row>
    <row r="4080" spans="1:6" ht="15.75">
      <c r="A4080" t="str">
        <f t="shared" si="63"/>
        <v>MontilliezMazoutECS</v>
      </c>
      <c r="C4080" s="148" t="s">
        <v>513</v>
      </c>
      <c r="D4080" s="148" t="s">
        <v>70</v>
      </c>
      <c r="E4080" s="148">
        <v>934037.83529413026</v>
      </c>
      <c r="F4080" s="148" t="s">
        <v>37</v>
      </c>
    </row>
    <row r="4081" spans="1:6" ht="15.75">
      <c r="A4081" t="str">
        <f t="shared" si="63"/>
        <v>MontilliezNon renseignéECS</v>
      </c>
      <c r="C4081" s="148" t="s">
        <v>513</v>
      </c>
      <c r="D4081" s="148" t="s">
        <v>696</v>
      </c>
      <c r="E4081" s="148">
        <v>0</v>
      </c>
      <c r="F4081" s="148" t="s">
        <v>37</v>
      </c>
    </row>
    <row r="4082" spans="1:6" ht="15.75">
      <c r="A4082" t="str">
        <f t="shared" si="63"/>
        <v>MontilliezPACECS</v>
      </c>
      <c r="C4082" s="148" t="s">
        <v>513</v>
      </c>
      <c r="D4082" s="148" t="s">
        <v>69</v>
      </c>
      <c r="E4082" s="148">
        <v>32131.673479510002</v>
      </c>
      <c r="F4082" s="148" t="s">
        <v>37</v>
      </c>
    </row>
    <row r="4083" spans="1:6" ht="15.75">
      <c r="A4083" t="str">
        <f t="shared" si="63"/>
        <v>MontilliezSolaireECS</v>
      </c>
      <c r="C4083" s="148" t="s">
        <v>513</v>
      </c>
      <c r="D4083" s="148" t="s">
        <v>240</v>
      </c>
      <c r="E4083" s="148">
        <v>365397.2</v>
      </c>
      <c r="F4083" s="148" t="s">
        <v>37</v>
      </c>
    </row>
    <row r="4084" spans="1:6" ht="15.75">
      <c r="A4084" t="str">
        <f t="shared" si="63"/>
        <v>MontilliezAutre agent énergétiqueECS</v>
      </c>
      <c r="C4084" s="148" t="s">
        <v>513</v>
      </c>
      <c r="D4084" s="148" t="s">
        <v>245</v>
      </c>
      <c r="E4084" s="148">
        <v>14632.47058823</v>
      </c>
      <c r="F4084" s="148" t="s">
        <v>37</v>
      </c>
    </row>
    <row r="4085" spans="1:6" ht="15.75">
      <c r="A4085" t="str">
        <f t="shared" si="63"/>
        <v>MontpreveyresAutre agent énergétiqueECS</v>
      </c>
      <c r="C4085" s="148" t="s">
        <v>514</v>
      </c>
      <c r="D4085" s="148" t="s">
        <v>245</v>
      </c>
      <c r="E4085" s="148">
        <v>3913.4117647000003</v>
      </c>
      <c r="F4085" s="148" t="s">
        <v>37</v>
      </c>
    </row>
    <row r="4086" spans="1:6" ht="15.75">
      <c r="A4086" t="str">
        <f t="shared" si="63"/>
        <v>MontpreveyresBoisECS</v>
      </c>
      <c r="C4086" s="148" t="s">
        <v>514</v>
      </c>
      <c r="D4086" s="148" t="s">
        <v>66</v>
      </c>
      <c r="E4086" s="148">
        <v>93465.427450970004</v>
      </c>
      <c r="F4086" s="148" t="s">
        <v>37</v>
      </c>
    </row>
    <row r="4087" spans="1:6" ht="15.75">
      <c r="A4087" t="str">
        <f t="shared" si="63"/>
        <v>MontpreveyresElectricitéECS</v>
      </c>
      <c r="C4087" s="148" t="s">
        <v>514</v>
      </c>
      <c r="D4087" s="148" t="s">
        <v>97</v>
      </c>
      <c r="E4087" s="148">
        <v>165226.91111109997</v>
      </c>
      <c r="F4087" s="148" t="s">
        <v>37</v>
      </c>
    </row>
    <row r="4088" spans="1:6" ht="15.75">
      <c r="A4088" t="str">
        <f t="shared" si="63"/>
        <v>MontpreveyresGazECS</v>
      </c>
      <c r="C4088" s="148" t="s">
        <v>514</v>
      </c>
      <c r="D4088" s="148" t="s">
        <v>239</v>
      </c>
      <c r="E4088" s="148">
        <v>27243.086956520001</v>
      </c>
      <c r="F4088" s="148" t="s">
        <v>37</v>
      </c>
    </row>
    <row r="4089" spans="1:6" ht="15.75">
      <c r="A4089" t="str">
        <f t="shared" si="63"/>
        <v>MontpreveyresMazoutECS</v>
      </c>
      <c r="C4089" s="148" t="s">
        <v>514</v>
      </c>
      <c r="D4089" s="148" t="s">
        <v>70</v>
      </c>
      <c r="E4089" s="148">
        <v>499085.17647058005</v>
      </c>
      <c r="F4089" s="148" t="s">
        <v>37</v>
      </c>
    </row>
    <row r="4090" spans="1:6" ht="15.75">
      <c r="A4090" t="str">
        <f t="shared" si="63"/>
        <v>MontpreveyresNon renseignéECS</v>
      </c>
      <c r="C4090" s="148" t="s">
        <v>514</v>
      </c>
      <c r="D4090" s="148" t="s">
        <v>696</v>
      </c>
      <c r="E4090" s="148">
        <v>0</v>
      </c>
      <c r="F4090" s="148" t="s">
        <v>37</v>
      </c>
    </row>
    <row r="4091" spans="1:6" ht="15.75">
      <c r="A4091" t="str">
        <f t="shared" si="63"/>
        <v>MontpreveyresPACECS</v>
      </c>
      <c r="C4091" s="148" t="s">
        <v>514</v>
      </c>
      <c r="D4091" s="148" t="s">
        <v>69</v>
      </c>
      <c r="E4091" s="148">
        <v>32834.137309550002</v>
      </c>
      <c r="F4091" s="148" t="s">
        <v>37</v>
      </c>
    </row>
    <row r="4092" spans="1:6" ht="15.75">
      <c r="A4092" t="str">
        <f t="shared" si="63"/>
        <v>MontpreveyresSolaireECS</v>
      </c>
      <c r="C4092" s="148" t="s">
        <v>514</v>
      </c>
      <c r="D4092" s="148" t="s">
        <v>240</v>
      </c>
      <c r="E4092" s="148">
        <v>39139.800000000003</v>
      </c>
      <c r="F4092" s="148" t="s">
        <v>37</v>
      </c>
    </row>
    <row r="4093" spans="1:6" ht="15.75">
      <c r="A4093" t="str">
        <f t="shared" si="63"/>
        <v>MontreuxAutre agent énergétiqueECS</v>
      </c>
      <c r="C4093" s="148" t="s">
        <v>515</v>
      </c>
      <c r="D4093" s="148" t="s">
        <v>245</v>
      </c>
      <c r="E4093" s="148">
        <v>162456.00000001001</v>
      </c>
      <c r="F4093" s="148" t="s">
        <v>37</v>
      </c>
    </row>
    <row r="4094" spans="1:6" ht="15.75">
      <c r="A4094" t="str">
        <f t="shared" si="63"/>
        <v>MontreuxBoisECS</v>
      </c>
      <c r="C4094" s="148" t="s">
        <v>515</v>
      </c>
      <c r="D4094" s="148" t="s">
        <v>66</v>
      </c>
      <c r="E4094" s="148">
        <v>835034.18352942017</v>
      </c>
      <c r="F4094" s="148" t="s">
        <v>37</v>
      </c>
    </row>
    <row r="4095" spans="1:6" ht="15.75">
      <c r="A4095" t="str">
        <f t="shared" si="63"/>
        <v>MontreuxCADECS</v>
      </c>
      <c r="C4095" s="148" t="s">
        <v>515</v>
      </c>
      <c r="D4095" s="148" t="s">
        <v>242</v>
      </c>
      <c r="E4095" s="148">
        <v>113288.00000000001</v>
      </c>
      <c r="F4095" s="148" t="s">
        <v>37</v>
      </c>
    </row>
    <row r="4096" spans="1:6" ht="15.75">
      <c r="A4096" t="str">
        <f t="shared" si="63"/>
        <v>MontreuxCharbonECS</v>
      </c>
      <c r="C4096" s="148" t="s">
        <v>515</v>
      </c>
      <c r="D4096" s="148" t="s">
        <v>695</v>
      </c>
      <c r="E4096" s="148" t="e">
        <v>#N/A</v>
      </c>
      <c r="F4096" s="148" t="s">
        <v>37</v>
      </c>
    </row>
    <row r="4097" spans="1:6" ht="15.75">
      <c r="A4097" t="str">
        <f t="shared" si="63"/>
        <v>MontreuxElectricitéECS</v>
      </c>
      <c r="C4097" s="148" t="s">
        <v>515</v>
      </c>
      <c r="D4097" s="148" t="s">
        <v>97</v>
      </c>
      <c r="E4097" s="148">
        <v>2166682.3111111005</v>
      </c>
      <c r="F4097" s="148" t="s">
        <v>37</v>
      </c>
    </row>
    <row r="4098" spans="1:6" ht="15.75">
      <c r="A4098" t="str">
        <f t="shared" si="63"/>
        <v>MontreuxGazECS</v>
      </c>
      <c r="C4098" s="148" t="s">
        <v>515</v>
      </c>
      <c r="D4098" s="148" t="s">
        <v>239</v>
      </c>
      <c r="E4098" s="148">
        <v>26019942.140920751</v>
      </c>
      <c r="F4098" s="148" t="s">
        <v>37</v>
      </c>
    </row>
    <row r="4099" spans="1:6" ht="15.75">
      <c r="A4099" t="str">
        <f t="shared" si="63"/>
        <v>MontreuxMazoutECS</v>
      </c>
      <c r="C4099" s="148" t="s">
        <v>515</v>
      </c>
      <c r="D4099" s="148" t="s">
        <v>70</v>
      </c>
      <c r="E4099" s="148">
        <v>16331079.202673914</v>
      </c>
      <c r="F4099" s="148" t="s">
        <v>37</v>
      </c>
    </row>
    <row r="4100" spans="1:6" ht="15.75">
      <c r="A4100" t="str">
        <f t="shared" si="63"/>
        <v>MontreuxNon renseignéECS</v>
      </c>
      <c r="C4100" s="148" t="s">
        <v>515</v>
      </c>
      <c r="D4100" s="148" t="s">
        <v>696</v>
      </c>
      <c r="E4100" s="148">
        <v>0</v>
      </c>
      <c r="F4100" s="148" t="s">
        <v>37</v>
      </c>
    </row>
    <row r="4101" spans="1:6" ht="15.75">
      <c r="A4101" t="str">
        <f t="shared" si="63"/>
        <v>MontreuxPACECS</v>
      </c>
      <c r="C4101" s="148" t="s">
        <v>515</v>
      </c>
      <c r="D4101" s="148" t="s">
        <v>69</v>
      </c>
      <c r="E4101" s="148">
        <v>143253.11321689002</v>
      </c>
      <c r="F4101" s="148" t="s">
        <v>37</v>
      </c>
    </row>
    <row r="4102" spans="1:6" ht="15.75">
      <c r="A4102" t="str">
        <f t="shared" si="63"/>
        <v>MontreuxSolaireECS</v>
      </c>
      <c r="C4102" s="148" t="s">
        <v>515</v>
      </c>
      <c r="D4102" s="148" t="s">
        <v>240</v>
      </c>
      <c r="E4102" s="148">
        <v>1123936.1000000006</v>
      </c>
      <c r="F4102" s="148" t="s">
        <v>37</v>
      </c>
    </row>
    <row r="4103" spans="1:6" ht="15.75">
      <c r="A4103" t="str">
        <f t="shared" si="63"/>
        <v>MontricherAutre agent énergétiqueECS</v>
      </c>
      <c r="C4103" s="148" t="s">
        <v>516</v>
      </c>
      <c r="D4103" s="148" t="s">
        <v>245</v>
      </c>
      <c r="E4103" s="148">
        <v>28718.11764706</v>
      </c>
      <c r="F4103" s="148" t="s">
        <v>37</v>
      </c>
    </row>
    <row r="4104" spans="1:6" ht="15.75">
      <c r="A4104" t="str">
        <f t="shared" si="63"/>
        <v>MontricherBoisECS</v>
      </c>
      <c r="C4104" s="148" t="s">
        <v>516</v>
      </c>
      <c r="D4104" s="148" t="s">
        <v>66</v>
      </c>
      <c r="E4104" s="148">
        <v>157401.5607843</v>
      </c>
      <c r="F4104" s="148" t="s">
        <v>37</v>
      </c>
    </row>
    <row r="4105" spans="1:6" ht="15.75">
      <c r="A4105" t="str">
        <f t="shared" si="63"/>
        <v>MontricherCADECS</v>
      </c>
      <c r="C4105" s="148" t="s">
        <v>516</v>
      </c>
      <c r="D4105" s="148" t="s">
        <v>242</v>
      </c>
      <c r="E4105" s="148">
        <v>8859.2000000000007</v>
      </c>
      <c r="F4105" s="148" t="s">
        <v>37</v>
      </c>
    </row>
    <row r="4106" spans="1:6" ht="15.75">
      <c r="A4106" t="str">
        <f t="shared" si="63"/>
        <v>MontricherElectricitéECS</v>
      </c>
      <c r="C4106" s="148" t="s">
        <v>516</v>
      </c>
      <c r="D4106" s="148" t="s">
        <v>97</v>
      </c>
      <c r="E4106" s="148">
        <v>455328.22222221998</v>
      </c>
      <c r="F4106" s="148" t="s">
        <v>37</v>
      </c>
    </row>
    <row r="4107" spans="1:6" ht="15.75">
      <c r="A4107" t="str">
        <f t="shared" si="63"/>
        <v>MontricherGazECS</v>
      </c>
      <c r="C4107" s="148" t="s">
        <v>516</v>
      </c>
      <c r="D4107" s="148" t="s">
        <v>239</v>
      </c>
      <c r="E4107" s="148">
        <v>286068.56138110004</v>
      </c>
      <c r="F4107" s="148" t="s">
        <v>37</v>
      </c>
    </row>
    <row r="4108" spans="1:6" ht="15.75">
      <c r="A4108" t="str">
        <f t="shared" si="63"/>
        <v>MontricherMazoutECS</v>
      </c>
      <c r="C4108" s="148" t="s">
        <v>516</v>
      </c>
      <c r="D4108" s="148" t="s">
        <v>70</v>
      </c>
      <c r="E4108" s="148">
        <v>672359.05882353988</v>
      </c>
      <c r="F4108" s="148" t="s">
        <v>37</v>
      </c>
    </row>
    <row r="4109" spans="1:6" ht="15.75">
      <c r="A4109" t="str">
        <f t="shared" si="63"/>
        <v>MontricherNon renseignéECS</v>
      </c>
      <c r="C4109" s="148" t="s">
        <v>516</v>
      </c>
      <c r="D4109" s="148" t="s">
        <v>696</v>
      </c>
      <c r="E4109" s="148">
        <v>0</v>
      </c>
      <c r="F4109" s="148" t="s">
        <v>37</v>
      </c>
    </row>
    <row r="4110" spans="1:6" ht="15.75">
      <c r="A4110" t="str">
        <f t="shared" si="63"/>
        <v>MontricherPACECS</v>
      </c>
      <c r="C4110" s="148" t="s">
        <v>516</v>
      </c>
      <c r="D4110" s="148" t="s">
        <v>69</v>
      </c>
      <c r="E4110" s="148">
        <v>15252.88294315</v>
      </c>
      <c r="F4110" s="148" t="s">
        <v>37</v>
      </c>
    </row>
    <row r="4111" spans="1:6" ht="15.75">
      <c r="A4111" t="str">
        <f t="shared" si="63"/>
        <v>MontricherSolaireECS</v>
      </c>
      <c r="C4111" s="148" t="s">
        <v>516</v>
      </c>
      <c r="D4111" s="148" t="s">
        <v>240</v>
      </c>
      <c r="E4111" s="148">
        <v>132906.20000000001</v>
      </c>
      <c r="F4111" s="148" t="s">
        <v>37</v>
      </c>
    </row>
    <row r="4112" spans="1:6" ht="15.75">
      <c r="A4112" t="str">
        <f t="shared" si="63"/>
        <v>MorgesAutre agent énergétiqueECS</v>
      </c>
      <c r="C4112" s="148" t="s">
        <v>517</v>
      </c>
      <c r="D4112" s="148" t="s">
        <v>245</v>
      </c>
      <c r="E4112" s="148">
        <v>140270.11764707</v>
      </c>
      <c r="F4112" s="148" t="s">
        <v>37</v>
      </c>
    </row>
    <row r="4113" spans="1:6" ht="15.75">
      <c r="A4113" t="str">
        <f t="shared" si="63"/>
        <v>MorgesBoisECS</v>
      </c>
      <c r="C4113" s="148" t="s">
        <v>517</v>
      </c>
      <c r="D4113" s="148" t="s">
        <v>66</v>
      </c>
      <c r="E4113" s="148">
        <v>299396.42352941999</v>
      </c>
      <c r="F4113" s="148" t="s">
        <v>37</v>
      </c>
    </row>
    <row r="4114" spans="1:6" ht="15.75">
      <c r="A4114" t="str">
        <f t="shared" si="63"/>
        <v>MorgesCADECS</v>
      </c>
      <c r="C4114" s="148" t="s">
        <v>517</v>
      </c>
      <c r="D4114" s="148" t="s">
        <v>242</v>
      </c>
      <c r="E4114" s="148">
        <v>95769.799999999988</v>
      </c>
      <c r="F4114" s="148" t="s">
        <v>37</v>
      </c>
    </row>
    <row r="4115" spans="1:6" ht="15.75">
      <c r="A4115" t="str">
        <f t="shared" ref="A4115:A4178" si="64">_xlfn.CONCAT(C4115,D4115,F4115)</f>
        <v>MorgesElectricitéECS</v>
      </c>
      <c r="C4115" s="148" t="s">
        <v>517</v>
      </c>
      <c r="D4115" s="148" t="s">
        <v>97</v>
      </c>
      <c r="E4115" s="148">
        <v>2191681.333333361</v>
      </c>
      <c r="F4115" s="148" t="s">
        <v>37</v>
      </c>
    </row>
    <row r="4116" spans="1:6" ht="15.75">
      <c r="A4116" t="str">
        <f t="shared" si="64"/>
        <v>MorgesGazECS</v>
      </c>
      <c r="C4116" s="148" t="s">
        <v>517</v>
      </c>
      <c r="D4116" s="148" t="s">
        <v>239</v>
      </c>
      <c r="E4116" s="148">
        <v>11414489.613810714</v>
      </c>
      <c r="F4116" s="148" t="s">
        <v>37</v>
      </c>
    </row>
    <row r="4117" spans="1:6" ht="15.75">
      <c r="A4117" t="str">
        <f t="shared" si="64"/>
        <v>MorgesMazoutECS</v>
      </c>
      <c r="C4117" s="148" t="s">
        <v>517</v>
      </c>
      <c r="D4117" s="148" t="s">
        <v>70</v>
      </c>
      <c r="E4117" s="148">
        <v>6108804.4705882017</v>
      </c>
      <c r="F4117" s="148" t="s">
        <v>37</v>
      </c>
    </row>
    <row r="4118" spans="1:6" ht="15.75">
      <c r="A4118" t="str">
        <f t="shared" si="64"/>
        <v>MorgesNon renseignéECS</v>
      </c>
      <c r="C4118" s="148" t="s">
        <v>517</v>
      </c>
      <c r="D4118" s="148" t="s">
        <v>696</v>
      </c>
      <c r="E4118" s="148">
        <v>0</v>
      </c>
      <c r="F4118" s="148" t="s">
        <v>37</v>
      </c>
    </row>
    <row r="4119" spans="1:6" ht="15.75">
      <c r="A4119" t="str">
        <f t="shared" si="64"/>
        <v>MorgesPACECS</v>
      </c>
      <c r="C4119" s="148" t="s">
        <v>517</v>
      </c>
      <c r="D4119" s="148" t="s">
        <v>69</v>
      </c>
      <c r="E4119" s="148">
        <v>166955.62046328001</v>
      </c>
      <c r="F4119" s="148" t="s">
        <v>37</v>
      </c>
    </row>
    <row r="4120" spans="1:6" ht="15.75">
      <c r="A4120" t="str">
        <f t="shared" si="64"/>
        <v>MorgesSolaireECS</v>
      </c>
      <c r="C4120" s="148" t="s">
        <v>517</v>
      </c>
      <c r="D4120" s="148" t="s">
        <v>240</v>
      </c>
      <c r="E4120" s="148">
        <v>699710.89999999991</v>
      </c>
      <c r="F4120" s="148" t="s">
        <v>37</v>
      </c>
    </row>
    <row r="4121" spans="1:6" ht="15.75">
      <c r="A4121" t="str">
        <f t="shared" si="64"/>
        <v>Morrens (VD)BoisECS</v>
      </c>
      <c r="C4121" s="148" t="s">
        <v>627</v>
      </c>
      <c r="D4121" s="148" t="s">
        <v>66</v>
      </c>
      <c r="E4121" s="148">
        <v>83902.164705880001</v>
      </c>
      <c r="F4121" s="148" t="s">
        <v>37</v>
      </c>
    </row>
    <row r="4122" spans="1:6" ht="15.75">
      <c r="A4122" t="str">
        <f t="shared" si="64"/>
        <v>Morrens (VD)ElectricitéECS</v>
      </c>
      <c r="C4122" s="148" t="s">
        <v>627</v>
      </c>
      <c r="D4122" s="148" t="s">
        <v>97</v>
      </c>
      <c r="E4122" s="148">
        <v>432209.55555557006</v>
      </c>
      <c r="F4122" s="148" t="s">
        <v>37</v>
      </c>
    </row>
    <row r="4123" spans="1:6" ht="15.75">
      <c r="A4123" t="str">
        <f t="shared" si="64"/>
        <v>Morrens (VD)GazECS</v>
      </c>
      <c r="C4123" s="148" t="s">
        <v>627</v>
      </c>
      <c r="D4123" s="148" t="s">
        <v>239</v>
      </c>
      <c r="E4123" s="148">
        <v>195336.71867008004</v>
      </c>
      <c r="F4123" s="148" t="s">
        <v>37</v>
      </c>
    </row>
    <row r="4124" spans="1:6" ht="15.75">
      <c r="A4124" t="str">
        <f t="shared" si="64"/>
        <v>Morrens (VD)MazoutECS</v>
      </c>
      <c r="C4124" s="148" t="s">
        <v>627</v>
      </c>
      <c r="D4124" s="148" t="s">
        <v>70</v>
      </c>
      <c r="E4124" s="148">
        <v>563943.05882355024</v>
      </c>
      <c r="F4124" s="148" t="s">
        <v>37</v>
      </c>
    </row>
    <row r="4125" spans="1:6" ht="15.75">
      <c r="A4125" t="str">
        <f t="shared" si="64"/>
        <v>Morrens (VD)Non renseignéECS</v>
      </c>
      <c r="C4125" s="148" t="s">
        <v>627</v>
      </c>
      <c r="D4125" s="148" t="s">
        <v>696</v>
      </c>
      <c r="E4125" s="148">
        <v>0</v>
      </c>
      <c r="F4125" s="148" t="s">
        <v>37</v>
      </c>
    </row>
    <row r="4126" spans="1:6" ht="15.75">
      <c r="A4126" t="str">
        <f t="shared" si="64"/>
        <v>Morrens (VD)PACECS</v>
      </c>
      <c r="C4126" s="148" t="s">
        <v>627</v>
      </c>
      <c r="D4126" s="148" t="s">
        <v>69</v>
      </c>
      <c r="E4126" s="148">
        <v>55871.518394670005</v>
      </c>
      <c r="F4126" s="148" t="s">
        <v>37</v>
      </c>
    </row>
    <row r="4127" spans="1:6" ht="15.75">
      <c r="A4127" t="str">
        <f t="shared" si="64"/>
        <v>Morrens (VD)SolaireECS</v>
      </c>
      <c r="C4127" s="148" t="s">
        <v>627</v>
      </c>
      <c r="D4127" s="148" t="s">
        <v>240</v>
      </c>
      <c r="E4127" s="148">
        <v>80891.999999999985</v>
      </c>
      <c r="F4127" s="148" t="s">
        <v>37</v>
      </c>
    </row>
    <row r="4128" spans="1:6" ht="15.75">
      <c r="A4128" t="str">
        <f t="shared" si="64"/>
        <v>Morrens (VD)Autre agent énergétiqueECS</v>
      </c>
      <c r="C4128" s="148" t="s">
        <v>627</v>
      </c>
      <c r="D4128" s="148" t="s">
        <v>245</v>
      </c>
      <c r="E4128" s="148">
        <v>1594.35294118</v>
      </c>
      <c r="F4128" s="148" t="s">
        <v>37</v>
      </c>
    </row>
    <row r="4129" spans="1:6" ht="15.75">
      <c r="A4129" t="str">
        <f t="shared" si="64"/>
        <v>MoudonBoisECS</v>
      </c>
      <c r="C4129" s="148" t="s">
        <v>518</v>
      </c>
      <c r="D4129" s="148" t="s">
        <v>66</v>
      </c>
      <c r="E4129" s="148">
        <v>490149.64078431</v>
      </c>
      <c r="F4129" s="148" t="s">
        <v>37</v>
      </c>
    </row>
    <row r="4130" spans="1:6" ht="15.75">
      <c r="A4130" t="str">
        <f t="shared" si="64"/>
        <v>MoudonCADECS</v>
      </c>
      <c r="C4130" s="148" t="s">
        <v>518</v>
      </c>
      <c r="D4130" s="148" t="s">
        <v>242</v>
      </c>
      <c r="E4130" s="148">
        <v>287130.56</v>
      </c>
      <c r="F4130" s="148" t="s">
        <v>37</v>
      </c>
    </row>
    <row r="4131" spans="1:6" ht="15.75">
      <c r="A4131" t="str">
        <f t="shared" si="64"/>
        <v>MoudonElectricitéECS</v>
      </c>
      <c r="C4131" s="148" t="s">
        <v>518</v>
      </c>
      <c r="D4131" s="148" t="s">
        <v>97</v>
      </c>
      <c r="E4131" s="148">
        <v>1037110.6666666698</v>
      </c>
      <c r="F4131" s="148" t="s">
        <v>37</v>
      </c>
    </row>
    <row r="4132" spans="1:6" ht="15.75">
      <c r="A4132" t="str">
        <f t="shared" si="64"/>
        <v>MoudonGazECS</v>
      </c>
      <c r="C4132" s="148" t="s">
        <v>518</v>
      </c>
      <c r="D4132" s="148" t="s">
        <v>239</v>
      </c>
      <c r="E4132" s="148">
        <v>2357624.9168798323</v>
      </c>
      <c r="F4132" s="148" t="s">
        <v>37</v>
      </c>
    </row>
    <row r="4133" spans="1:6" ht="15.75">
      <c r="A4133" t="str">
        <f t="shared" si="64"/>
        <v>MoudonMazoutECS</v>
      </c>
      <c r="C4133" s="148" t="s">
        <v>518</v>
      </c>
      <c r="D4133" s="148" t="s">
        <v>70</v>
      </c>
      <c r="E4133" s="148">
        <v>3576105.3176470282</v>
      </c>
      <c r="F4133" s="148" t="s">
        <v>37</v>
      </c>
    </row>
    <row r="4134" spans="1:6" ht="15.75">
      <c r="A4134" t="str">
        <f t="shared" si="64"/>
        <v>MoudonNon renseignéECS</v>
      </c>
      <c r="C4134" s="148" t="s">
        <v>518</v>
      </c>
      <c r="D4134" s="148" t="s">
        <v>696</v>
      </c>
      <c r="E4134" s="148">
        <v>0</v>
      </c>
      <c r="F4134" s="148" t="s">
        <v>37</v>
      </c>
    </row>
    <row r="4135" spans="1:6" ht="15.75">
      <c r="A4135" t="str">
        <f t="shared" si="64"/>
        <v>MoudonPACECS</v>
      </c>
      <c r="C4135" s="148" t="s">
        <v>518</v>
      </c>
      <c r="D4135" s="148" t="s">
        <v>69</v>
      </c>
      <c r="E4135" s="148">
        <v>57040.947603130007</v>
      </c>
      <c r="F4135" s="148" t="s">
        <v>37</v>
      </c>
    </row>
    <row r="4136" spans="1:6" ht="15.75">
      <c r="A4136" t="str">
        <f t="shared" si="64"/>
        <v>MoudonSolaireECS</v>
      </c>
      <c r="C4136" s="148" t="s">
        <v>518</v>
      </c>
      <c r="D4136" s="148" t="s">
        <v>240</v>
      </c>
      <c r="E4136" s="148">
        <v>388180.71478260984</v>
      </c>
      <c r="F4136" s="148" t="s">
        <v>37</v>
      </c>
    </row>
    <row r="4137" spans="1:6" ht="15.75">
      <c r="A4137" t="str">
        <f t="shared" si="64"/>
        <v>MoudonAutre agent énergétiqueECS</v>
      </c>
      <c r="C4137" s="148" t="s">
        <v>518</v>
      </c>
      <c r="D4137" s="148" t="s">
        <v>245</v>
      </c>
      <c r="E4137" s="148">
        <v>289.88235293999998</v>
      </c>
      <c r="F4137" s="148" t="s">
        <v>37</v>
      </c>
    </row>
    <row r="4138" spans="1:6" ht="15.75">
      <c r="A4138" t="str">
        <f t="shared" si="64"/>
        <v>MutruxBoisECS</v>
      </c>
      <c r="C4138" s="148" t="s">
        <v>519</v>
      </c>
      <c r="D4138" s="148" t="s">
        <v>66</v>
      </c>
      <c r="E4138" s="148">
        <v>108020.26666665002</v>
      </c>
      <c r="F4138" s="148" t="s">
        <v>37</v>
      </c>
    </row>
    <row r="4139" spans="1:6" ht="15.75">
      <c r="A4139" t="str">
        <f t="shared" si="64"/>
        <v>MutruxCADECS</v>
      </c>
      <c r="C4139" s="148" t="s">
        <v>519</v>
      </c>
      <c r="D4139" s="148" t="s">
        <v>242</v>
      </c>
      <c r="E4139" s="148">
        <v>5544</v>
      </c>
      <c r="F4139" s="148" t="s">
        <v>37</v>
      </c>
    </row>
    <row r="4140" spans="1:6" ht="15.75">
      <c r="A4140" t="str">
        <f t="shared" si="64"/>
        <v>MutruxElectricitéECS</v>
      </c>
      <c r="C4140" s="148" t="s">
        <v>519</v>
      </c>
      <c r="D4140" s="148" t="s">
        <v>97</v>
      </c>
      <c r="E4140" s="148">
        <v>31129.77777778</v>
      </c>
      <c r="F4140" s="148" t="s">
        <v>37</v>
      </c>
    </row>
    <row r="4141" spans="1:6" ht="15.75">
      <c r="A4141" t="str">
        <f t="shared" si="64"/>
        <v>MutruxMazoutECS</v>
      </c>
      <c r="C4141" s="148" t="s">
        <v>519</v>
      </c>
      <c r="D4141" s="148" t="s">
        <v>70</v>
      </c>
      <c r="E4141" s="148">
        <v>160044.70588235994</v>
      </c>
      <c r="F4141" s="148" t="s">
        <v>37</v>
      </c>
    </row>
    <row r="4142" spans="1:6" ht="15.75">
      <c r="A4142" t="str">
        <f t="shared" si="64"/>
        <v>MutruxNon renseignéECS</v>
      </c>
      <c r="C4142" s="148" t="s">
        <v>519</v>
      </c>
      <c r="D4142" s="148" t="s">
        <v>696</v>
      </c>
      <c r="E4142" s="148">
        <v>0</v>
      </c>
      <c r="F4142" s="148" t="s">
        <v>37</v>
      </c>
    </row>
    <row r="4143" spans="1:6" ht="15.75">
      <c r="A4143" t="str">
        <f t="shared" si="64"/>
        <v>MutruxPACECS</v>
      </c>
      <c r="C4143" s="148" t="s">
        <v>519</v>
      </c>
      <c r="D4143" s="148" t="s">
        <v>69</v>
      </c>
      <c r="E4143" s="148">
        <v>784</v>
      </c>
      <c r="F4143" s="148" t="s">
        <v>37</v>
      </c>
    </row>
    <row r="4144" spans="1:6" ht="15.75">
      <c r="A4144" t="str">
        <f t="shared" si="64"/>
        <v>MutruxSolaireECS</v>
      </c>
      <c r="C4144" s="148" t="s">
        <v>519</v>
      </c>
      <c r="D4144" s="148" t="s">
        <v>240</v>
      </c>
      <c r="E4144" s="148">
        <v>2822.4</v>
      </c>
      <c r="F4144" s="148" t="s">
        <v>37</v>
      </c>
    </row>
    <row r="4145" spans="1:6" ht="15.75">
      <c r="A4145" t="str">
        <f t="shared" si="64"/>
        <v>NovallesBoisECS</v>
      </c>
      <c r="C4145" s="148" t="s">
        <v>520</v>
      </c>
      <c r="D4145" s="148" t="s">
        <v>66</v>
      </c>
      <c r="E4145" s="148">
        <v>41382.188235289999</v>
      </c>
      <c r="F4145" s="148" t="s">
        <v>37</v>
      </c>
    </row>
    <row r="4146" spans="1:6" ht="15.75">
      <c r="A4146" t="str">
        <f t="shared" si="64"/>
        <v>NovallesElectricitéECS</v>
      </c>
      <c r="C4146" s="148" t="s">
        <v>520</v>
      </c>
      <c r="D4146" s="148" t="s">
        <v>97</v>
      </c>
      <c r="E4146" s="148">
        <v>65731.55555556</v>
      </c>
      <c r="F4146" s="148" t="s">
        <v>37</v>
      </c>
    </row>
    <row r="4147" spans="1:6" ht="15.75">
      <c r="A4147" t="str">
        <f t="shared" si="64"/>
        <v>NovallesMazoutECS</v>
      </c>
      <c r="C4147" s="148" t="s">
        <v>520</v>
      </c>
      <c r="D4147" s="148" t="s">
        <v>70</v>
      </c>
      <c r="E4147" s="148">
        <v>107793.41176471001</v>
      </c>
      <c r="F4147" s="148" t="s">
        <v>37</v>
      </c>
    </row>
    <row r="4148" spans="1:6" ht="15.75">
      <c r="A4148" t="str">
        <f t="shared" si="64"/>
        <v>NovallesNon renseignéECS</v>
      </c>
      <c r="C4148" s="148" t="s">
        <v>520</v>
      </c>
      <c r="D4148" s="148" t="s">
        <v>696</v>
      </c>
      <c r="E4148" s="148">
        <v>0</v>
      </c>
      <c r="F4148" s="148" t="s">
        <v>37</v>
      </c>
    </row>
    <row r="4149" spans="1:6" ht="15.75">
      <c r="A4149" t="str">
        <f t="shared" si="64"/>
        <v>NovallesPACECS</v>
      </c>
      <c r="C4149" s="148" t="s">
        <v>520</v>
      </c>
      <c r="D4149" s="148" t="s">
        <v>69</v>
      </c>
      <c r="E4149" s="148" t="e">
        <v>#N/A</v>
      </c>
      <c r="F4149" s="148" t="s">
        <v>37</v>
      </c>
    </row>
    <row r="4150" spans="1:6" ht="15.75">
      <c r="A4150" t="str">
        <f t="shared" si="64"/>
        <v>NovallesGazECS</v>
      </c>
      <c r="C4150" s="148" t="s">
        <v>520</v>
      </c>
      <c r="D4150" s="148" t="s">
        <v>239</v>
      </c>
      <c r="E4150" s="148">
        <v>2108.2352941200002</v>
      </c>
      <c r="F4150" s="148" t="s">
        <v>37</v>
      </c>
    </row>
    <row r="4151" spans="1:6" ht="15.75">
      <c r="A4151" t="str">
        <f t="shared" si="64"/>
        <v>NovallesSolaireECS</v>
      </c>
      <c r="C4151" s="148" t="s">
        <v>520</v>
      </c>
      <c r="D4151" s="148" t="s">
        <v>240</v>
      </c>
      <c r="E4151" s="148">
        <v>15088.5</v>
      </c>
      <c r="F4151" s="148" t="s">
        <v>37</v>
      </c>
    </row>
    <row r="4152" spans="1:6" ht="15.75">
      <c r="A4152" t="str">
        <f t="shared" si="64"/>
        <v>NovilleAutre agent énergétiqueECS</v>
      </c>
      <c r="C4152" s="148" t="s">
        <v>521</v>
      </c>
      <c r="D4152" s="148" t="s">
        <v>245</v>
      </c>
      <c r="E4152" s="148">
        <v>17333.647058820003</v>
      </c>
      <c r="F4152" s="148" t="s">
        <v>37</v>
      </c>
    </row>
    <row r="4153" spans="1:6" ht="15.75">
      <c r="A4153" t="str">
        <f t="shared" si="64"/>
        <v>NovilleBoisECS</v>
      </c>
      <c r="C4153" s="148" t="s">
        <v>521</v>
      </c>
      <c r="D4153" s="148" t="s">
        <v>66</v>
      </c>
      <c r="E4153" s="148">
        <v>139585.59999999998</v>
      </c>
      <c r="F4153" s="148" t="s">
        <v>37</v>
      </c>
    </row>
    <row r="4154" spans="1:6" ht="15.75">
      <c r="A4154" t="str">
        <f t="shared" si="64"/>
        <v>NovilleCADECS</v>
      </c>
      <c r="C4154" s="148" t="s">
        <v>521</v>
      </c>
      <c r="D4154" s="148" t="s">
        <v>242</v>
      </c>
      <c r="E4154" s="148">
        <v>254764.3</v>
      </c>
      <c r="F4154" s="148" t="s">
        <v>37</v>
      </c>
    </row>
    <row r="4155" spans="1:6" ht="15.75">
      <c r="A4155" t="str">
        <f t="shared" si="64"/>
        <v>NovilleElectricitéECS</v>
      </c>
      <c r="C4155" s="148" t="s">
        <v>521</v>
      </c>
      <c r="D4155" s="148" t="s">
        <v>97</v>
      </c>
      <c r="E4155" s="148">
        <v>218863.55555552</v>
      </c>
      <c r="F4155" s="148" t="s">
        <v>37</v>
      </c>
    </row>
    <row r="4156" spans="1:6" ht="15.75">
      <c r="A4156" t="str">
        <f t="shared" si="64"/>
        <v>NovilleGazECS</v>
      </c>
      <c r="C4156" s="148" t="s">
        <v>521</v>
      </c>
      <c r="D4156" s="148" t="s">
        <v>239</v>
      </c>
      <c r="E4156" s="148">
        <v>101201.20204602</v>
      </c>
      <c r="F4156" s="148" t="s">
        <v>37</v>
      </c>
    </row>
    <row r="4157" spans="1:6" ht="15.75">
      <c r="A4157" t="str">
        <f t="shared" si="64"/>
        <v>NovilleMazoutECS</v>
      </c>
      <c r="C4157" s="148" t="s">
        <v>521</v>
      </c>
      <c r="D4157" s="148" t="s">
        <v>70</v>
      </c>
      <c r="E4157" s="148">
        <v>633664.16163683031</v>
      </c>
      <c r="F4157" s="148" t="s">
        <v>37</v>
      </c>
    </row>
    <row r="4158" spans="1:6" ht="15.75">
      <c r="A4158" t="str">
        <f t="shared" si="64"/>
        <v>NovilleNon renseignéECS</v>
      </c>
      <c r="C4158" s="148" t="s">
        <v>521</v>
      </c>
      <c r="D4158" s="148" t="s">
        <v>696</v>
      </c>
      <c r="E4158" s="148">
        <v>0</v>
      </c>
      <c r="F4158" s="148" t="s">
        <v>37</v>
      </c>
    </row>
    <row r="4159" spans="1:6" ht="15.75">
      <c r="A4159" t="str">
        <f t="shared" si="64"/>
        <v>NovillePACECS</v>
      </c>
      <c r="C4159" s="148" t="s">
        <v>521</v>
      </c>
      <c r="D4159" s="148" t="s">
        <v>69</v>
      </c>
      <c r="E4159" s="148">
        <v>45313.542735030009</v>
      </c>
      <c r="F4159" s="148" t="s">
        <v>37</v>
      </c>
    </row>
    <row r="4160" spans="1:6" ht="15.75">
      <c r="A4160" t="str">
        <f t="shared" si="64"/>
        <v>NovilleSolaireECS</v>
      </c>
      <c r="C4160" s="148" t="s">
        <v>521</v>
      </c>
      <c r="D4160" s="148" t="s">
        <v>240</v>
      </c>
      <c r="E4160" s="148">
        <v>98816.75999999998</v>
      </c>
      <c r="F4160" s="148" t="s">
        <v>37</v>
      </c>
    </row>
    <row r="4161" spans="1:6" ht="15.75">
      <c r="A4161" t="str">
        <f t="shared" si="64"/>
        <v>NyonAutre agent énergétiqueECS</v>
      </c>
      <c r="C4161" s="148" t="s">
        <v>522</v>
      </c>
      <c r="D4161" s="148" t="s">
        <v>245</v>
      </c>
      <c r="E4161" s="148">
        <v>886774.82352940994</v>
      </c>
      <c r="F4161" s="148" t="s">
        <v>37</v>
      </c>
    </row>
    <row r="4162" spans="1:6" ht="15.75">
      <c r="A4162" t="str">
        <f t="shared" si="64"/>
        <v>NyonBoisECS</v>
      </c>
      <c r="C4162" s="148" t="s">
        <v>522</v>
      </c>
      <c r="D4162" s="148" t="s">
        <v>66</v>
      </c>
      <c r="E4162" s="148">
        <v>1070297.91372549</v>
      </c>
      <c r="F4162" s="148" t="s">
        <v>37</v>
      </c>
    </row>
    <row r="4163" spans="1:6" ht="15.75">
      <c r="A4163" t="str">
        <f t="shared" si="64"/>
        <v>NyonCADECS</v>
      </c>
      <c r="C4163" s="148" t="s">
        <v>522</v>
      </c>
      <c r="D4163" s="148" t="s">
        <v>242</v>
      </c>
      <c r="E4163" s="148">
        <v>410312</v>
      </c>
      <c r="F4163" s="148" t="s">
        <v>37</v>
      </c>
    </row>
    <row r="4164" spans="1:6" ht="15.75">
      <c r="A4164" t="str">
        <f t="shared" si="64"/>
        <v>NyonElectricitéECS</v>
      </c>
      <c r="C4164" s="148" t="s">
        <v>522</v>
      </c>
      <c r="D4164" s="148" t="s">
        <v>97</v>
      </c>
      <c r="E4164" s="148">
        <v>1558763.7519956604</v>
      </c>
      <c r="F4164" s="148" t="s">
        <v>37</v>
      </c>
    </row>
    <row r="4165" spans="1:6" ht="15.75">
      <c r="A4165" t="str">
        <f t="shared" si="64"/>
        <v>NyonGazECS</v>
      </c>
      <c r="C4165" s="148" t="s">
        <v>522</v>
      </c>
      <c r="D4165" s="148" t="s">
        <v>239</v>
      </c>
      <c r="E4165" s="148">
        <v>14243871.15485923</v>
      </c>
      <c r="F4165" s="148" t="s">
        <v>37</v>
      </c>
    </row>
    <row r="4166" spans="1:6" ht="15.75">
      <c r="A4166" t="str">
        <f t="shared" si="64"/>
        <v>NyonMazoutECS</v>
      </c>
      <c r="C4166" s="148" t="s">
        <v>522</v>
      </c>
      <c r="D4166" s="148" t="s">
        <v>70</v>
      </c>
      <c r="E4166" s="148">
        <v>12283973.971071312</v>
      </c>
      <c r="F4166" s="148" t="s">
        <v>37</v>
      </c>
    </row>
    <row r="4167" spans="1:6" ht="15.75">
      <c r="A4167" t="str">
        <f t="shared" si="64"/>
        <v>NyonNon renseignéECS</v>
      </c>
      <c r="C4167" s="148" t="s">
        <v>522</v>
      </c>
      <c r="D4167" s="148" t="s">
        <v>696</v>
      </c>
      <c r="E4167" s="148">
        <v>0</v>
      </c>
      <c r="F4167" s="148" t="s">
        <v>37</v>
      </c>
    </row>
    <row r="4168" spans="1:6" ht="15.75">
      <c r="A4168" t="str">
        <f t="shared" si="64"/>
        <v>NyonPACECS</v>
      </c>
      <c r="C4168" s="148" t="s">
        <v>522</v>
      </c>
      <c r="D4168" s="148" t="s">
        <v>69</v>
      </c>
      <c r="E4168" s="148">
        <v>303448.72329988994</v>
      </c>
      <c r="F4168" s="148" t="s">
        <v>37</v>
      </c>
    </row>
    <row r="4169" spans="1:6" ht="15.75">
      <c r="A4169" t="str">
        <f t="shared" si="64"/>
        <v>NyonSolaireECS</v>
      </c>
      <c r="C4169" s="148" t="s">
        <v>522</v>
      </c>
      <c r="D4169" s="148" t="s">
        <v>240</v>
      </c>
      <c r="E4169" s="148">
        <v>2569617.4</v>
      </c>
      <c r="F4169" s="148" t="s">
        <v>37</v>
      </c>
    </row>
    <row r="4170" spans="1:6" ht="15.75">
      <c r="A4170" t="str">
        <f t="shared" si="64"/>
        <v>OgensBoisECS</v>
      </c>
      <c r="C4170" s="148" t="s">
        <v>523</v>
      </c>
      <c r="D4170" s="148" t="s">
        <v>66</v>
      </c>
      <c r="E4170" s="148">
        <v>69922.785882360011</v>
      </c>
      <c r="F4170" s="148" t="s">
        <v>37</v>
      </c>
    </row>
    <row r="4171" spans="1:6" ht="15.75">
      <c r="A4171" t="str">
        <f t="shared" si="64"/>
        <v>OgensCADECS</v>
      </c>
      <c r="C4171" s="148" t="s">
        <v>523</v>
      </c>
      <c r="D4171" s="148" t="s">
        <v>242</v>
      </c>
      <c r="E4171" s="148">
        <v>1489.6000000000001</v>
      </c>
      <c r="F4171" s="148" t="s">
        <v>37</v>
      </c>
    </row>
    <row r="4172" spans="1:6" ht="15.75">
      <c r="A4172" t="str">
        <f t="shared" si="64"/>
        <v>OgensElectricitéECS</v>
      </c>
      <c r="C4172" s="148" t="s">
        <v>523</v>
      </c>
      <c r="D4172" s="148" t="s">
        <v>97</v>
      </c>
      <c r="E4172" s="148">
        <v>103417.99999998997</v>
      </c>
      <c r="F4172" s="148" t="s">
        <v>37</v>
      </c>
    </row>
    <row r="4173" spans="1:6" ht="15.75">
      <c r="A4173" t="str">
        <f t="shared" si="64"/>
        <v>OgensGazECS</v>
      </c>
      <c r="C4173" s="148" t="s">
        <v>523</v>
      </c>
      <c r="D4173" s="148" t="s">
        <v>239</v>
      </c>
      <c r="E4173" s="148">
        <v>196914.04603579998</v>
      </c>
      <c r="F4173" s="148" t="s">
        <v>37</v>
      </c>
    </row>
    <row r="4174" spans="1:6" ht="15.75">
      <c r="A4174" t="str">
        <f t="shared" si="64"/>
        <v>OgensMazoutECS</v>
      </c>
      <c r="C4174" s="148" t="s">
        <v>523</v>
      </c>
      <c r="D4174" s="148" t="s">
        <v>70</v>
      </c>
      <c r="E4174" s="148">
        <v>140260.23529412001</v>
      </c>
      <c r="F4174" s="148" t="s">
        <v>37</v>
      </c>
    </row>
    <row r="4175" spans="1:6" ht="15.75">
      <c r="A4175" t="str">
        <f t="shared" si="64"/>
        <v>OgensNon renseignéECS</v>
      </c>
      <c r="C4175" s="148" t="s">
        <v>523</v>
      </c>
      <c r="D4175" s="148" t="s">
        <v>696</v>
      </c>
      <c r="E4175" s="148">
        <v>0</v>
      </c>
      <c r="F4175" s="148" t="s">
        <v>37</v>
      </c>
    </row>
    <row r="4176" spans="1:6" ht="15.75">
      <c r="A4176" t="str">
        <f t="shared" si="64"/>
        <v>OgensPACECS</v>
      </c>
      <c r="C4176" s="148" t="s">
        <v>523</v>
      </c>
      <c r="D4176" s="148" t="s">
        <v>69</v>
      </c>
      <c r="E4176" s="148">
        <v>2076.7946488299999</v>
      </c>
      <c r="F4176" s="148" t="s">
        <v>37</v>
      </c>
    </row>
    <row r="4177" spans="1:6" ht="15.75">
      <c r="A4177" t="str">
        <f t="shared" si="64"/>
        <v>OgensSolaireECS</v>
      </c>
      <c r="C4177" s="148" t="s">
        <v>523</v>
      </c>
      <c r="D4177" s="148" t="s">
        <v>240</v>
      </c>
      <c r="E4177" s="148">
        <v>17151.400000000001</v>
      </c>
      <c r="F4177" s="148" t="s">
        <v>37</v>
      </c>
    </row>
    <row r="4178" spans="1:6" ht="15.75">
      <c r="A4178" t="str">
        <f t="shared" si="64"/>
        <v>OllonAutre agent énergétiqueECS</v>
      </c>
      <c r="C4178" s="148" t="s">
        <v>524</v>
      </c>
      <c r="D4178" s="148" t="s">
        <v>245</v>
      </c>
      <c r="E4178" s="148">
        <v>17814.588235300002</v>
      </c>
      <c r="F4178" s="148" t="s">
        <v>37</v>
      </c>
    </row>
    <row r="4179" spans="1:6" ht="15.75">
      <c r="A4179" t="str">
        <f t="shared" ref="A4179:A4242" si="65">_xlfn.CONCAT(C4179,D4179,F4179)</f>
        <v>OllonBoisECS</v>
      </c>
      <c r="C4179" s="148" t="s">
        <v>524</v>
      </c>
      <c r="D4179" s="148" t="s">
        <v>66</v>
      </c>
      <c r="E4179" s="148">
        <v>662521.11058824987</v>
      </c>
      <c r="F4179" s="148" t="s">
        <v>37</v>
      </c>
    </row>
    <row r="4180" spans="1:6" ht="15.75">
      <c r="A4180" t="str">
        <f t="shared" si="65"/>
        <v>OllonCADECS</v>
      </c>
      <c r="C4180" s="148" t="s">
        <v>524</v>
      </c>
      <c r="D4180" s="148" t="s">
        <v>242</v>
      </c>
      <c r="E4180" s="148">
        <v>22403.08</v>
      </c>
      <c r="F4180" s="148" t="s">
        <v>37</v>
      </c>
    </row>
    <row r="4181" spans="1:6" ht="15.75">
      <c r="A4181" t="str">
        <f t="shared" si="65"/>
        <v>OllonCharbonECS</v>
      </c>
      <c r="C4181" s="148" t="s">
        <v>524</v>
      </c>
      <c r="D4181" s="148" t="s">
        <v>695</v>
      </c>
      <c r="E4181" s="148" t="e">
        <v>#N/A</v>
      </c>
      <c r="F4181" s="148" t="s">
        <v>37</v>
      </c>
    </row>
    <row r="4182" spans="1:6" ht="15.75">
      <c r="A4182" t="str">
        <f t="shared" si="65"/>
        <v>OllonElectricitéECS</v>
      </c>
      <c r="C4182" s="148" t="s">
        <v>524</v>
      </c>
      <c r="D4182" s="148" t="s">
        <v>97</v>
      </c>
      <c r="E4182" s="148">
        <v>1936249.7098039484</v>
      </c>
      <c r="F4182" s="148" t="s">
        <v>37</v>
      </c>
    </row>
    <row r="4183" spans="1:6" ht="15.75">
      <c r="A4183" t="str">
        <f t="shared" si="65"/>
        <v>OllonGazECS</v>
      </c>
      <c r="C4183" s="148" t="s">
        <v>524</v>
      </c>
      <c r="D4183" s="148" t="s">
        <v>239</v>
      </c>
      <c r="E4183" s="148">
        <v>10008609.078260895</v>
      </c>
      <c r="F4183" s="148" t="s">
        <v>37</v>
      </c>
    </row>
    <row r="4184" spans="1:6" ht="15.75">
      <c r="A4184" t="str">
        <f t="shared" si="65"/>
        <v>OllonMazoutECS</v>
      </c>
      <c r="C4184" s="148" t="s">
        <v>524</v>
      </c>
      <c r="D4184" s="148" t="s">
        <v>70</v>
      </c>
      <c r="E4184" s="148">
        <v>5828941.396078499</v>
      </c>
      <c r="F4184" s="148" t="s">
        <v>37</v>
      </c>
    </row>
    <row r="4185" spans="1:6" ht="15.75">
      <c r="A4185" t="str">
        <f t="shared" si="65"/>
        <v>OllonNon renseignéECS</v>
      </c>
      <c r="C4185" s="148" t="s">
        <v>524</v>
      </c>
      <c r="D4185" s="148" t="s">
        <v>696</v>
      </c>
      <c r="E4185" s="148">
        <v>0</v>
      </c>
      <c r="F4185" s="148" t="s">
        <v>37</v>
      </c>
    </row>
    <row r="4186" spans="1:6" ht="15.75">
      <c r="A4186" t="str">
        <f t="shared" si="65"/>
        <v>OllonPACECS</v>
      </c>
      <c r="C4186" s="148" t="s">
        <v>524</v>
      </c>
      <c r="D4186" s="148" t="s">
        <v>69</v>
      </c>
      <c r="E4186" s="148">
        <v>120747.21725503</v>
      </c>
      <c r="F4186" s="148" t="s">
        <v>37</v>
      </c>
    </row>
    <row r="4187" spans="1:6" ht="15.75">
      <c r="A4187" t="str">
        <f t="shared" si="65"/>
        <v>OllonSolaireECS</v>
      </c>
      <c r="C4187" s="148" t="s">
        <v>524</v>
      </c>
      <c r="D4187" s="148" t="s">
        <v>240</v>
      </c>
      <c r="E4187" s="148">
        <v>805652.94444443984</v>
      </c>
      <c r="F4187" s="148" t="s">
        <v>37</v>
      </c>
    </row>
    <row r="4188" spans="1:6" ht="15.75">
      <c r="A4188" t="str">
        <f t="shared" si="65"/>
        <v>OllonECS</v>
      </c>
      <c r="C4188" s="148" t="s">
        <v>524</v>
      </c>
      <c r="E4188" s="148" t="e">
        <v>#N/A</v>
      </c>
      <c r="F4188" s="148" t="s">
        <v>37</v>
      </c>
    </row>
    <row r="4189" spans="1:6" ht="15.75">
      <c r="A4189" t="str">
        <f t="shared" si="65"/>
        <v>Onnens (VD)Autre agent énergétiqueECS</v>
      </c>
      <c r="C4189" s="148" t="s">
        <v>626</v>
      </c>
      <c r="D4189" s="148" t="s">
        <v>245</v>
      </c>
      <c r="E4189" s="148" t="e">
        <v>#N/A</v>
      </c>
      <c r="F4189" s="148" t="s">
        <v>37</v>
      </c>
    </row>
    <row r="4190" spans="1:6" ht="15.75">
      <c r="A4190" t="str">
        <f t="shared" si="65"/>
        <v>Onnens (VD)BoisECS</v>
      </c>
      <c r="C4190" s="148" t="s">
        <v>626</v>
      </c>
      <c r="D4190" s="148" t="s">
        <v>66</v>
      </c>
      <c r="E4190" s="148">
        <v>58358.698039219991</v>
      </c>
      <c r="F4190" s="148" t="s">
        <v>37</v>
      </c>
    </row>
    <row r="4191" spans="1:6" ht="15.75">
      <c r="A4191" t="str">
        <f t="shared" si="65"/>
        <v>Onnens (VD)ElectricitéECS</v>
      </c>
      <c r="C4191" s="148" t="s">
        <v>626</v>
      </c>
      <c r="D4191" s="148" t="s">
        <v>97</v>
      </c>
      <c r="E4191" s="148">
        <v>226149.77777778008</v>
      </c>
      <c r="F4191" s="148" t="s">
        <v>37</v>
      </c>
    </row>
    <row r="4192" spans="1:6" ht="15.75">
      <c r="A4192" t="str">
        <f t="shared" si="65"/>
        <v>Onnens (VD)GazECS</v>
      </c>
      <c r="C4192" s="148" t="s">
        <v>626</v>
      </c>
      <c r="D4192" s="148" t="s">
        <v>239</v>
      </c>
      <c r="E4192" s="148" t="e">
        <v>#N/A</v>
      </c>
      <c r="F4192" s="148" t="s">
        <v>37</v>
      </c>
    </row>
    <row r="4193" spans="1:6" ht="15.75">
      <c r="A4193" t="str">
        <f t="shared" si="65"/>
        <v>Onnens (VD)MazoutECS</v>
      </c>
      <c r="C4193" s="148" t="s">
        <v>626</v>
      </c>
      <c r="D4193" s="148" t="s">
        <v>70</v>
      </c>
      <c r="E4193" s="148">
        <v>374022.05347589997</v>
      </c>
      <c r="F4193" s="148" t="s">
        <v>37</v>
      </c>
    </row>
    <row r="4194" spans="1:6" ht="15.75">
      <c r="A4194" t="str">
        <f t="shared" si="65"/>
        <v>Onnens (VD)Non renseignéECS</v>
      </c>
      <c r="C4194" s="148" t="s">
        <v>626</v>
      </c>
      <c r="D4194" s="148" t="s">
        <v>696</v>
      </c>
      <c r="E4194" s="148">
        <v>0</v>
      </c>
      <c r="F4194" s="148" t="s">
        <v>37</v>
      </c>
    </row>
    <row r="4195" spans="1:6" ht="15.75">
      <c r="A4195" t="str">
        <f t="shared" si="65"/>
        <v>Onnens (VD)PACECS</v>
      </c>
      <c r="C4195" s="148" t="s">
        <v>626</v>
      </c>
      <c r="D4195" s="148" t="s">
        <v>69</v>
      </c>
      <c r="E4195" s="148">
        <v>13939.502849009999</v>
      </c>
      <c r="F4195" s="148" t="s">
        <v>37</v>
      </c>
    </row>
    <row r="4196" spans="1:6" ht="15.75">
      <c r="A4196" t="str">
        <f t="shared" si="65"/>
        <v>Onnens (VD)SolaireECS</v>
      </c>
      <c r="C4196" s="148" t="s">
        <v>626</v>
      </c>
      <c r="D4196" s="148" t="s">
        <v>240</v>
      </c>
      <c r="E4196" s="148">
        <v>80503.5</v>
      </c>
      <c r="F4196" s="148" t="s">
        <v>37</v>
      </c>
    </row>
    <row r="4197" spans="1:6" ht="15.75">
      <c r="A4197" t="str">
        <f t="shared" si="65"/>
        <v>OppensBoisECS</v>
      </c>
      <c r="C4197" s="148" t="s">
        <v>525</v>
      </c>
      <c r="D4197" s="148" t="s">
        <v>66</v>
      </c>
      <c r="E4197" s="148">
        <v>75750.826666680005</v>
      </c>
      <c r="F4197" s="148" t="s">
        <v>37</v>
      </c>
    </row>
    <row r="4198" spans="1:6" ht="15.75">
      <c r="A4198" t="str">
        <f t="shared" si="65"/>
        <v>OppensCADECS</v>
      </c>
      <c r="C4198" s="148" t="s">
        <v>525</v>
      </c>
      <c r="D4198" s="148" t="s">
        <v>242</v>
      </c>
      <c r="E4198" s="148">
        <v>4972.8</v>
      </c>
      <c r="F4198" s="148" t="s">
        <v>37</v>
      </c>
    </row>
    <row r="4199" spans="1:6" ht="15.75">
      <c r="A4199" t="str">
        <f t="shared" si="65"/>
        <v>OppensElectricitéECS</v>
      </c>
      <c r="C4199" s="148" t="s">
        <v>525</v>
      </c>
      <c r="D4199" s="148" t="s">
        <v>97</v>
      </c>
      <c r="E4199" s="148">
        <v>187982.66666667</v>
      </c>
      <c r="F4199" s="148" t="s">
        <v>37</v>
      </c>
    </row>
    <row r="4200" spans="1:6" ht="15.75">
      <c r="A4200" t="str">
        <f t="shared" si="65"/>
        <v>OppensGazECS</v>
      </c>
      <c r="C4200" s="148" t="s">
        <v>525</v>
      </c>
      <c r="D4200" s="148" t="s">
        <v>239</v>
      </c>
      <c r="E4200" s="148">
        <v>53463.529411759999</v>
      </c>
      <c r="F4200" s="148" t="s">
        <v>37</v>
      </c>
    </row>
    <row r="4201" spans="1:6" ht="15.75">
      <c r="A4201" t="str">
        <f t="shared" si="65"/>
        <v>OppensMazoutECS</v>
      </c>
      <c r="C4201" s="148" t="s">
        <v>525</v>
      </c>
      <c r="D4201" s="148" t="s">
        <v>70</v>
      </c>
      <c r="E4201" s="148">
        <v>139858.88506788001</v>
      </c>
      <c r="F4201" s="148" t="s">
        <v>37</v>
      </c>
    </row>
    <row r="4202" spans="1:6" ht="15.75">
      <c r="A4202" t="str">
        <f t="shared" si="65"/>
        <v>OppensNon renseignéECS</v>
      </c>
      <c r="C4202" s="148" t="s">
        <v>525</v>
      </c>
      <c r="D4202" s="148" t="s">
        <v>696</v>
      </c>
      <c r="E4202" s="148">
        <v>0</v>
      </c>
      <c r="F4202" s="148" t="s">
        <v>37</v>
      </c>
    </row>
    <row r="4203" spans="1:6" ht="15.75">
      <c r="A4203" t="str">
        <f t="shared" si="65"/>
        <v>OppensPACECS</v>
      </c>
      <c r="C4203" s="148" t="s">
        <v>525</v>
      </c>
      <c r="D4203" s="148" t="s">
        <v>69</v>
      </c>
      <c r="E4203" s="148">
        <v>1193.7891737899999</v>
      </c>
      <c r="F4203" s="148" t="s">
        <v>37</v>
      </c>
    </row>
    <row r="4204" spans="1:6" ht="15.75">
      <c r="A4204" t="str">
        <f t="shared" si="65"/>
        <v>OppensSolaireECS</v>
      </c>
      <c r="C4204" s="148" t="s">
        <v>525</v>
      </c>
      <c r="D4204" s="148" t="s">
        <v>240</v>
      </c>
      <c r="E4204" s="148">
        <v>28485.8</v>
      </c>
      <c r="F4204" s="148" t="s">
        <v>37</v>
      </c>
    </row>
    <row r="4205" spans="1:6" ht="15.75">
      <c r="A4205" t="str">
        <f t="shared" si="65"/>
        <v>OrbeAutre agent énergétiqueECS</v>
      </c>
      <c r="C4205" s="148" t="s">
        <v>526</v>
      </c>
      <c r="D4205" s="148" t="s">
        <v>245</v>
      </c>
      <c r="E4205" s="148">
        <v>81509.64705883</v>
      </c>
      <c r="F4205" s="148" t="s">
        <v>37</v>
      </c>
    </row>
    <row r="4206" spans="1:6" ht="15.75">
      <c r="A4206" t="str">
        <f t="shared" si="65"/>
        <v>OrbeBoisECS</v>
      </c>
      <c r="C4206" s="148" t="s">
        <v>526</v>
      </c>
      <c r="D4206" s="148" t="s">
        <v>66</v>
      </c>
      <c r="E4206" s="148">
        <v>213188.53019607998</v>
      </c>
      <c r="F4206" s="148" t="s">
        <v>37</v>
      </c>
    </row>
    <row r="4207" spans="1:6" ht="15.75">
      <c r="A4207" t="str">
        <f t="shared" si="65"/>
        <v>OrbeCADECS</v>
      </c>
      <c r="C4207" s="148" t="s">
        <v>526</v>
      </c>
      <c r="D4207" s="148" t="s">
        <v>242</v>
      </c>
      <c r="E4207" s="148">
        <v>121122.4</v>
      </c>
      <c r="F4207" s="148" t="s">
        <v>37</v>
      </c>
    </row>
    <row r="4208" spans="1:6" ht="15.75">
      <c r="A4208" t="str">
        <f t="shared" si="65"/>
        <v>OrbeElectricitéECS</v>
      </c>
      <c r="C4208" s="148" t="s">
        <v>526</v>
      </c>
      <c r="D4208" s="148" t="s">
        <v>97</v>
      </c>
      <c r="E4208" s="148">
        <v>1526426.2222222406</v>
      </c>
      <c r="F4208" s="148" t="s">
        <v>37</v>
      </c>
    </row>
    <row r="4209" spans="1:6" ht="15.75">
      <c r="A4209" t="str">
        <f t="shared" si="65"/>
        <v>OrbeGazECS</v>
      </c>
      <c r="C4209" s="148" t="s">
        <v>526</v>
      </c>
      <c r="D4209" s="148" t="s">
        <v>239</v>
      </c>
      <c r="E4209" s="148">
        <v>5134235.654219917</v>
      </c>
      <c r="F4209" s="148" t="s">
        <v>37</v>
      </c>
    </row>
    <row r="4210" spans="1:6" ht="15.75">
      <c r="A4210" t="str">
        <f t="shared" si="65"/>
        <v>OrbeMazoutECS</v>
      </c>
      <c r="C4210" s="148" t="s">
        <v>526</v>
      </c>
      <c r="D4210" s="148" t="s">
        <v>70</v>
      </c>
      <c r="E4210" s="148">
        <v>2612907.4438502491</v>
      </c>
      <c r="F4210" s="148" t="s">
        <v>37</v>
      </c>
    </row>
    <row r="4211" spans="1:6" ht="15.75">
      <c r="A4211" t="str">
        <f t="shared" si="65"/>
        <v>OrbeNon renseignéECS</v>
      </c>
      <c r="C4211" s="148" t="s">
        <v>526</v>
      </c>
      <c r="D4211" s="148" t="s">
        <v>696</v>
      </c>
      <c r="E4211" s="148">
        <v>0</v>
      </c>
      <c r="F4211" s="148" t="s">
        <v>37</v>
      </c>
    </row>
    <row r="4212" spans="1:6" ht="15.75">
      <c r="A4212" t="str">
        <f t="shared" si="65"/>
        <v>OrbePACECS</v>
      </c>
      <c r="C4212" s="148" t="s">
        <v>526</v>
      </c>
      <c r="D4212" s="148" t="s">
        <v>69</v>
      </c>
      <c r="E4212" s="148">
        <v>53165.215037789989</v>
      </c>
      <c r="F4212" s="148" t="s">
        <v>37</v>
      </c>
    </row>
    <row r="4213" spans="1:6" ht="15.75">
      <c r="A4213" t="str">
        <f t="shared" si="65"/>
        <v>OrbeSolaireECS</v>
      </c>
      <c r="C4213" s="148" t="s">
        <v>526</v>
      </c>
      <c r="D4213" s="148" t="s">
        <v>240</v>
      </c>
      <c r="E4213" s="148">
        <v>259911.40000000014</v>
      </c>
      <c r="F4213" s="148" t="s">
        <v>37</v>
      </c>
    </row>
    <row r="4214" spans="1:6" ht="15.75">
      <c r="A4214" t="str">
        <f t="shared" si="65"/>
        <v>OrgesAutre agent énergétiqueECS</v>
      </c>
      <c r="C4214" s="148" t="s">
        <v>527</v>
      </c>
      <c r="D4214" s="148" t="s">
        <v>245</v>
      </c>
      <c r="E4214" s="148">
        <v>21207.529411759999</v>
      </c>
      <c r="F4214" s="148" t="s">
        <v>37</v>
      </c>
    </row>
    <row r="4215" spans="1:6" ht="15.75">
      <c r="A4215" t="str">
        <f t="shared" si="65"/>
        <v>OrgesBoisECS</v>
      </c>
      <c r="C4215" s="148" t="s">
        <v>527</v>
      </c>
      <c r="D4215" s="148" t="s">
        <v>66</v>
      </c>
      <c r="E4215" s="148">
        <v>143241.34588236004</v>
      </c>
      <c r="F4215" s="148" t="s">
        <v>37</v>
      </c>
    </row>
    <row r="4216" spans="1:6" ht="15.75">
      <c r="A4216" t="str">
        <f t="shared" si="65"/>
        <v>OrgesElectricitéECS</v>
      </c>
      <c r="C4216" s="148" t="s">
        <v>527</v>
      </c>
      <c r="D4216" s="148" t="s">
        <v>97</v>
      </c>
      <c r="E4216" s="148">
        <v>88193.777777790005</v>
      </c>
      <c r="F4216" s="148" t="s">
        <v>37</v>
      </c>
    </row>
    <row r="4217" spans="1:6" ht="15.75">
      <c r="A4217" t="str">
        <f t="shared" si="65"/>
        <v>OrgesGazECS</v>
      </c>
      <c r="C4217" s="148" t="s">
        <v>527</v>
      </c>
      <c r="D4217" s="148" t="s">
        <v>239</v>
      </c>
      <c r="E4217" s="148">
        <v>15759.16624042</v>
      </c>
      <c r="F4217" s="148" t="s">
        <v>37</v>
      </c>
    </row>
    <row r="4218" spans="1:6" ht="15.75">
      <c r="A4218" t="str">
        <f t="shared" si="65"/>
        <v>OrgesMazoutECS</v>
      </c>
      <c r="C4218" s="148" t="s">
        <v>527</v>
      </c>
      <c r="D4218" s="148" t="s">
        <v>70</v>
      </c>
      <c r="E4218" s="148">
        <v>234052.32941179996</v>
      </c>
      <c r="F4218" s="148" t="s">
        <v>37</v>
      </c>
    </row>
    <row r="4219" spans="1:6" ht="15.75">
      <c r="A4219" t="str">
        <f t="shared" si="65"/>
        <v>OrgesNon renseignéECS</v>
      </c>
      <c r="C4219" s="148" t="s">
        <v>527</v>
      </c>
      <c r="D4219" s="148" t="s">
        <v>696</v>
      </c>
      <c r="E4219" s="148">
        <v>0</v>
      </c>
      <c r="F4219" s="148" t="s">
        <v>37</v>
      </c>
    </row>
    <row r="4220" spans="1:6" ht="15.75">
      <c r="A4220" t="str">
        <f t="shared" si="65"/>
        <v>OrgesPACECS</v>
      </c>
      <c r="C4220" s="148" t="s">
        <v>527</v>
      </c>
      <c r="D4220" s="148" t="s">
        <v>69</v>
      </c>
      <c r="E4220" s="148">
        <v>13788.276923070001</v>
      </c>
      <c r="F4220" s="148" t="s">
        <v>37</v>
      </c>
    </row>
    <row r="4221" spans="1:6" ht="15.75">
      <c r="A4221" t="str">
        <f t="shared" si="65"/>
        <v>OrgesSolaireECS</v>
      </c>
      <c r="C4221" s="148" t="s">
        <v>527</v>
      </c>
      <c r="D4221" s="148" t="s">
        <v>240</v>
      </c>
      <c r="E4221" s="148">
        <v>27606.600000000002</v>
      </c>
      <c r="F4221" s="148" t="s">
        <v>37</v>
      </c>
    </row>
    <row r="4222" spans="1:6" ht="15.75">
      <c r="A4222" t="str">
        <f t="shared" si="65"/>
        <v>Ormont-DessousAutre agent énergétiqueECS</v>
      </c>
      <c r="C4222" s="148" t="s">
        <v>528</v>
      </c>
      <c r="D4222" s="148" t="s">
        <v>245</v>
      </c>
      <c r="E4222" s="148">
        <v>8950.77647058</v>
      </c>
      <c r="F4222" s="148" t="s">
        <v>37</v>
      </c>
    </row>
    <row r="4223" spans="1:6" ht="15.75">
      <c r="A4223" t="str">
        <f t="shared" si="65"/>
        <v>Ormont-DessousBoisECS</v>
      </c>
      <c r="C4223" s="148" t="s">
        <v>528</v>
      </c>
      <c r="D4223" s="148" t="s">
        <v>66</v>
      </c>
      <c r="E4223" s="148">
        <v>561708.63686276984</v>
      </c>
      <c r="F4223" s="148" t="s">
        <v>37</v>
      </c>
    </row>
    <row r="4224" spans="1:6" ht="15.75">
      <c r="A4224" t="str">
        <f t="shared" si="65"/>
        <v>Ormont-DessousCADECS</v>
      </c>
      <c r="C4224" s="148" t="s">
        <v>528</v>
      </c>
      <c r="D4224" s="148" t="s">
        <v>242</v>
      </c>
      <c r="E4224" s="148" t="e">
        <v>#N/A</v>
      </c>
      <c r="F4224" s="148" t="s">
        <v>37</v>
      </c>
    </row>
    <row r="4225" spans="1:6" ht="15.75">
      <c r="A4225" t="str">
        <f t="shared" si="65"/>
        <v>Ormont-DessousCharbonECS</v>
      </c>
      <c r="C4225" s="148" t="s">
        <v>528</v>
      </c>
      <c r="D4225" s="148" t="s">
        <v>695</v>
      </c>
      <c r="E4225" s="148" t="e">
        <v>#N/A</v>
      </c>
      <c r="F4225" s="148" t="s">
        <v>37</v>
      </c>
    </row>
    <row r="4226" spans="1:6" ht="15.75">
      <c r="A4226" t="str">
        <f t="shared" si="65"/>
        <v>Ormont-DessousElectricitéECS</v>
      </c>
      <c r="C4226" s="148" t="s">
        <v>528</v>
      </c>
      <c r="D4226" s="148" t="s">
        <v>97</v>
      </c>
      <c r="E4226" s="148">
        <v>1079069.9111111299</v>
      </c>
      <c r="F4226" s="148" t="s">
        <v>37</v>
      </c>
    </row>
    <row r="4227" spans="1:6" ht="15.75">
      <c r="A4227" t="str">
        <f t="shared" si="65"/>
        <v>Ormont-DessousGazECS</v>
      </c>
      <c r="C4227" s="148" t="s">
        <v>528</v>
      </c>
      <c r="D4227" s="148" t="s">
        <v>239</v>
      </c>
      <c r="E4227" s="148">
        <v>55598.260869540012</v>
      </c>
      <c r="F4227" s="148" t="s">
        <v>37</v>
      </c>
    </row>
    <row r="4228" spans="1:6" ht="15.75">
      <c r="A4228" t="str">
        <f t="shared" si="65"/>
        <v>Ormont-DessousMazoutECS</v>
      </c>
      <c r="C4228" s="148" t="s">
        <v>528</v>
      </c>
      <c r="D4228" s="148" t="s">
        <v>70</v>
      </c>
      <c r="E4228" s="148">
        <v>1122692.0390375897</v>
      </c>
      <c r="F4228" s="148" t="s">
        <v>37</v>
      </c>
    </row>
    <row r="4229" spans="1:6" ht="15.75">
      <c r="A4229" t="str">
        <f t="shared" si="65"/>
        <v>Ormont-DessousNon renseignéECS</v>
      </c>
      <c r="C4229" s="148" t="s">
        <v>528</v>
      </c>
      <c r="D4229" s="148" t="s">
        <v>696</v>
      </c>
      <c r="E4229" s="148">
        <v>0</v>
      </c>
      <c r="F4229" s="148" t="s">
        <v>37</v>
      </c>
    </row>
    <row r="4230" spans="1:6" ht="15.75">
      <c r="A4230" t="str">
        <f t="shared" si="65"/>
        <v>Ormont-DessousPACECS</v>
      </c>
      <c r="C4230" s="148" t="s">
        <v>528</v>
      </c>
      <c r="D4230" s="148" t="s">
        <v>69</v>
      </c>
      <c r="E4230" s="148">
        <v>6374.3076923099998</v>
      </c>
      <c r="F4230" s="148" t="s">
        <v>37</v>
      </c>
    </row>
    <row r="4231" spans="1:6" ht="15.75">
      <c r="A4231" t="str">
        <f t="shared" si="65"/>
        <v>Ormont-DessousSolaireECS</v>
      </c>
      <c r="C4231" s="148" t="s">
        <v>528</v>
      </c>
      <c r="D4231" s="148" t="s">
        <v>240</v>
      </c>
      <c r="E4231" s="148">
        <v>95164.3</v>
      </c>
      <c r="F4231" s="148" t="s">
        <v>37</v>
      </c>
    </row>
    <row r="4232" spans="1:6" ht="15.75">
      <c r="A4232" t="str">
        <f t="shared" si="65"/>
        <v>Ormont-DessusAutre agent énergétiqueECS</v>
      </c>
      <c r="C4232" s="148" t="s">
        <v>529</v>
      </c>
      <c r="D4232" s="148" t="s">
        <v>245</v>
      </c>
      <c r="E4232" s="148">
        <v>17136</v>
      </c>
      <c r="F4232" s="148" t="s">
        <v>37</v>
      </c>
    </row>
    <row r="4233" spans="1:6" ht="15.75">
      <c r="A4233" t="str">
        <f t="shared" si="65"/>
        <v>Ormont-DessusBoisECS</v>
      </c>
      <c r="C4233" s="148" t="s">
        <v>529</v>
      </c>
      <c r="D4233" s="148" t="s">
        <v>66</v>
      </c>
      <c r="E4233" s="148">
        <v>483231.57647062017</v>
      </c>
      <c r="F4233" s="148" t="s">
        <v>37</v>
      </c>
    </row>
    <row r="4234" spans="1:6" ht="15.75">
      <c r="A4234" t="str">
        <f t="shared" si="65"/>
        <v>Ormont-DessusCADECS</v>
      </c>
      <c r="C4234" s="148" t="s">
        <v>529</v>
      </c>
      <c r="D4234" s="148" t="s">
        <v>242</v>
      </c>
      <c r="E4234" s="148">
        <v>268830.09999999998</v>
      </c>
      <c r="F4234" s="148" t="s">
        <v>37</v>
      </c>
    </row>
    <row r="4235" spans="1:6" ht="15.75">
      <c r="A4235" t="str">
        <f t="shared" si="65"/>
        <v>Ormont-DessusElectricitéECS</v>
      </c>
      <c r="C4235" s="148" t="s">
        <v>529</v>
      </c>
      <c r="D4235" s="148" t="s">
        <v>97</v>
      </c>
      <c r="E4235" s="148">
        <v>1517530.0000000903</v>
      </c>
      <c r="F4235" s="148" t="s">
        <v>37</v>
      </c>
    </row>
    <row r="4236" spans="1:6" ht="15.75">
      <c r="A4236" t="str">
        <f t="shared" si="65"/>
        <v>Ormont-DessusGazECS</v>
      </c>
      <c r="C4236" s="148" t="s">
        <v>529</v>
      </c>
      <c r="D4236" s="148" t="s">
        <v>239</v>
      </c>
      <c r="E4236" s="148">
        <v>98272.409207159973</v>
      </c>
      <c r="F4236" s="148" t="s">
        <v>37</v>
      </c>
    </row>
    <row r="4237" spans="1:6" ht="15.75">
      <c r="A4237" t="str">
        <f t="shared" si="65"/>
        <v>Ormont-DessusMazoutECS</v>
      </c>
      <c r="C4237" s="148" t="s">
        <v>529</v>
      </c>
      <c r="D4237" s="148" t="s">
        <v>70</v>
      </c>
      <c r="E4237" s="148">
        <v>3449009.5294117802</v>
      </c>
      <c r="F4237" s="148" t="s">
        <v>37</v>
      </c>
    </row>
    <row r="4238" spans="1:6" ht="15.75">
      <c r="A4238" t="str">
        <f t="shared" si="65"/>
        <v>Ormont-DessusNon renseignéECS</v>
      </c>
      <c r="C4238" s="148" t="s">
        <v>529</v>
      </c>
      <c r="D4238" s="148" t="s">
        <v>696</v>
      </c>
      <c r="E4238" s="148">
        <v>0</v>
      </c>
      <c r="F4238" s="148" t="s">
        <v>37</v>
      </c>
    </row>
    <row r="4239" spans="1:6" ht="15.75">
      <c r="A4239" t="str">
        <f t="shared" si="65"/>
        <v>Ormont-DessusPACECS</v>
      </c>
      <c r="C4239" s="148" t="s">
        <v>529</v>
      </c>
      <c r="D4239" s="148" t="s">
        <v>69</v>
      </c>
      <c r="E4239" s="148">
        <v>35708.559457449999</v>
      </c>
      <c r="F4239" s="148" t="s">
        <v>37</v>
      </c>
    </row>
    <row r="4240" spans="1:6" ht="15.75">
      <c r="A4240" t="str">
        <f t="shared" si="65"/>
        <v>Ormont-DessusSolaireECS</v>
      </c>
      <c r="C4240" s="148" t="s">
        <v>529</v>
      </c>
      <c r="D4240" s="148" t="s">
        <v>240</v>
      </c>
      <c r="E4240" s="148">
        <v>179572.26000000004</v>
      </c>
      <c r="F4240" s="148" t="s">
        <v>37</v>
      </c>
    </row>
    <row r="4241" spans="1:6" ht="15.75">
      <c r="A4241" t="str">
        <f t="shared" si="65"/>
        <v>OrnyBoisECS</v>
      </c>
      <c r="C4241" s="148" t="s">
        <v>530</v>
      </c>
      <c r="D4241" s="148" t="s">
        <v>66</v>
      </c>
      <c r="E4241" s="148">
        <v>58843.921568639998</v>
      </c>
      <c r="F4241" s="148" t="s">
        <v>37</v>
      </c>
    </row>
    <row r="4242" spans="1:6" ht="15.75">
      <c r="A4242" t="str">
        <f t="shared" si="65"/>
        <v>OrnyCADECS</v>
      </c>
      <c r="C4242" s="148" t="s">
        <v>530</v>
      </c>
      <c r="D4242" s="148" t="s">
        <v>242</v>
      </c>
      <c r="E4242" s="148" t="e">
        <v>#N/A</v>
      </c>
      <c r="F4242" s="148" t="s">
        <v>37</v>
      </c>
    </row>
    <row r="4243" spans="1:6" ht="15.75">
      <c r="A4243" t="str">
        <f t="shared" ref="A4243:A4306" si="66">_xlfn.CONCAT(C4243,D4243,F4243)</f>
        <v>OrnyElectricitéECS</v>
      </c>
      <c r="C4243" s="148" t="s">
        <v>530</v>
      </c>
      <c r="D4243" s="148" t="s">
        <v>97</v>
      </c>
      <c r="E4243" s="148">
        <v>245100.80000002007</v>
      </c>
      <c r="F4243" s="148" t="s">
        <v>37</v>
      </c>
    </row>
    <row r="4244" spans="1:6" ht="15.75">
      <c r="A4244" t="str">
        <f t="shared" si="66"/>
        <v>OrnyGazECS</v>
      </c>
      <c r="C4244" s="148" t="s">
        <v>530</v>
      </c>
      <c r="D4244" s="148" t="s">
        <v>239</v>
      </c>
      <c r="E4244" s="148">
        <v>35892.849104859997</v>
      </c>
      <c r="F4244" s="148" t="s">
        <v>37</v>
      </c>
    </row>
    <row r="4245" spans="1:6" ht="15.75">
      <c r="A4245" t="str">
        <f t="shared" si="66"/>
        <v>OrnyMazoutECS</v>
      </c>
      <c r="C4245" s="148" t="s">
        <v>530</v>
      </c>
      <c r="D4245" s="148" t="s">
        <v>70</v>
      </c>
      <c r="E4245" s="148">
        <v>161617.64705880004</v>
      </c>
      <c r="F4245" s="148" t="s">
        <v>37</v>
      </c>
    </row>
    <row r="4246" spans="1:6" ht="15.75">
      <c r="A4246" t="str">
        <f t="shared" si="66"/>
        <v>OrnyNon renseignéECS</v>
      </c>
      <c r="C4246" s="148" t="s">
        <v>530</v>
      </c>
      <c r="D4246" s="148" t="s">
        <v>696</v>
      </c>
      <c r="E4246" s="148">
        <v>0</v>
      </c>
      <c r="F4246" s="148" t="s">
        <v>37</v>
      </c>
    </row>
    <row r="4247" spans="1:6" ht="15.75">
      <c r="A4247" t="str">
        <f t="shared" si="66"/>
        <v>OrnyPACECS</v>
      </c>
      <c r="C4247" s="148" t="s">
        <v>530</v>
      </c>
      <c r="D4247" s="148" t="s">
        <v>69</v>
      </c>
      <c r="E4247" s="148">
        <v>6062.1595441600002</v>
      </c>
      <c r="F4247" s="148" t="s">
        <v>37</v>
      </c>
    </row>
    <row r="4248" spans="1:6" ht="15.75">
      <c r="A4248" t="str">
        <f t="shared" si="66"/>
        <v>OrnySolaireECS</v>
      </c>
      <c r="C4248" s="148" t="s">
        <v>530</v>
      </c>
      <c r="D4248" s="148" t="s">
        <v>240</v>
      </c>
      <c r="E4248" s="148">
        <v>40989.199999999997</v>
      </c>
      <c r="F4248" s="148" t="s">
        <v>37</v>
      </c>
    </row>
    <row r="4249" spans="1:6" ht="15.75">
      <c r="A4249" t="str">
        <f t="shared" si="66"/>
        <v>OronAutre agent énergétiqueECS</v>
      </c>
      <c r="C4249" s="148" t="s">
        <v>531</v>
      </c>
      <c r="D4249" s="148" t="s">
        <v>245</v>
      </c>
      <c r="E4249" s="148">
        <v>3948.9882352899999</v>
      </c>
      <c r="F4249" s="148" t="s">
        <v>37</v>
      </c>
    </row>
    <row r="4250" spans="1:6" ht="15.75">
      <c r="A4250" t="str">
        <f t="shared" si="66"/>
        <v>OronBoisECS</v>
      </c>
      <c r="C4250" s="148" t="s">
        <v>531</v>
      </c>
      <c r="D4250" s="148" t="s">
        <v>66</v>
      </c>
      <c r="E4250" s="148">
        <v>781024.75294116</v>
      </c>
      <c r="F4250" s="148" t="s">
        <v>37</v>
      </c>
    </row>
    <row r="4251" spans="1:6" ht="15.75">
      <c r="A4251" t="str">
        <f t="shared" si="66"/>
        <v>OronCADECS</v>
      </c>
      <c r="C4251" s="148" t="s">
        <v>531</v>
      </c>
      <c r="D4251" s="148" t="s">
        <v>242</v>
      </c>
      <c r="E4251" s="148">
        <v>2292.6400000000003</v>
      </c>
      <c r="F4251" s="148" t="s">
        <v>37</v>
      </c>
    </row>
    <row r="4252" spans="1:6" ht="15.75">
      <c r="A4252" t="str">
        <f t="shared" si="66"/>
        <v>OronCharbonECS</v>
      </c>
      <c r="C4252" s="148" t="s">
        <v>531</v>
      </c>
      <c r="D4252" s="148" t="s">
        <v>695</v>
      </c>
      <c r="E4252" s="148" t="e">
        <v>#N/A</v>
      </c>
      <c r="F4252" s="148" t="s">
        <v>37</v>
      </c>
    </row>
    <row r="4253" spans="1:6" ht="15.75">
      <c r="A4253" t="str">
        <f t="shared" si="66"/>
        <v>OronElectricitéECS</v>
      </c>
      <c r="C4253" s="148" t="s">
        <v>531</v>
      </c>
      <c r="D4253" s="148" t="s">
        <v>97</v>
      </c>
      <c r="E4253" s="148">
        <v>1735412.6222221893</v>
      </c>
      <c r="F4253" s="148" t="s">
        <v>37</v>
      </c>
    </row>
    <row r="4254" spans="1:6" ht="15.75">
      <c r="A4254" t="str">
        <f t="shared" si="66"/>
        <v>OronGazECS</v>
      </c>
      <c r="C4254" s="148" t="s">
        <v>531</v>
      </c>
      <c r="D4254" s="148" t="s">
        <v>239</v>
      </c>
      <c r="E4254" s="148">
        <v>718855.54731457995</v>
      </c>
      <c r="F4254" s="148" t="s">
        <v>37</v>
      </c>
    </row>
    <row r="4255" spans="1:6" ht="15.75">
      <c r="A4255" t="str">
        <f t="shared" si="66"/>
        <v>OronMazoutECS</v>
      </c>
      <c r="C4255" s="148" t="s">
        <v>531</v>
      </c>
      <c r="D4255" s="148" t="s">
        <v>70</v>
      </c>
      <c r="E4255" s="148">
        <v>4587744.9882352008</v>
      </c>
      <c r="F4255" s="148" t="s">
        <v>37</v>
      </c>
    </row>
    <row r="4256" spans="1:6" ht="15.75">
      <c r="A4256" t="str">
        <f t="shared" si="66"/>
        <v>OronNon renseignéECS</v>
      </c>
      <c r="C4256" s="148" t="s">
        <v>531</v>
      </c>
      <c r="D4256" s="148" t="s">
        <v>696</v>
      </c>
      <c r="E4256" s="148">
        <v>0</v>
      </c>
      <c r="F4256" s="148" t="s">
        <v>37</v>
      </c>
    </row>
    <row r="4257" spans="1:6" ht="15.75">
      <c r="A4257" t="str">
        <f t="shared" si="66"/>
        <v>OronPACECS</v>
      </c>
      <c r="C4257" s="148" t="s">
        <v>531</v>
      </c>
      <c r="D4257" s="148" t="s">
        <v>69</v>
      </c>
      <c r="E4257" s="148">
        <v>119985.88232381</v>
      </c>
      <c r="F4257" s="148" t="s">
        <v>37</v>
      </c>
    </row>
    <row r="4258" spans="1:6" ht="15.75">
      <c r="A4258" t="str">
        <f t="shared" si="66"/>
        <v>OronSolaireECS</v>
      </c>
      <c r="C4258" s="148" t="s">
        <v>531</v>
      </c>
      <c r="D4258" s="148" t="s">
        <v>240</v>
      </c>
      <c r="E4258" s="148">
        <v>766401.36695652001</v>
      </c>
      <c r="F4258" s="148" t="s">
        <v>37</v>
      </c>
    </row>
    <row r="4259" spans="1:6" ht="15.75">
      <c r="A4259" t="str">
        <f t="shared" si="66"/>
        <v>OrzensAutre agent énergétiqueECS</v>
      </c>
      <c r="C4259" s="148" t="s">
        <v>532</v>
      </c>
      <c r="D4259" s="148" t="s">
        <v>245</v>
      </c>
      <c r="E4259" s="148" t="e">
        <v>#N/A</v>
      </c>
      <c r="F4259" s="148" t="s">
        <v>37</v>
      </c>
    </row>
    <row r="4260" spans="1:6" ht="15.75">
      <c r="A4260" t="str">
        <f t="shared" si="66"/>
        <v>OrzensBoisECS</v>
      </c>
      <c r="C4260" s="148" t="s">
        <v>532</v>
      </c>
      <c r="D4260" s="148" t="s">
        <v>66</v>
      </c>
      <c r="E4260" s="148">
        <v>42498.949019609994</v>
      </c>
      <c r="F4260" s="148" t="s">
        <v>37</v>
      </c>
    </row>
    <row r="4261" spans="1:6" ht="15.75">
      <c r="A4261" t="str">
        <f t="shared" si="66"/>
        <v>OrzensCADECS</v>
      </c>
      <c r="C4261" s="148" t="s">
        <v>532</v>
      </c>
      <c r="D4261" s="148" t="s">
        <v>242</v>
      </c>
      <c r="E4261" s="148" t="e">
        <v>#N/A</v>
      </c>
      <c r="F4261" s="148" t="s">
        <v>37</v>
      </c>
    </row>
    <row r="4262" spans="1:6" ht="15.75">
      <c r="A4262" t="str">
        <f t="shared" si="66"/>
        <v>OrzensElectricitéECS</v>
      </c>
      <c r="C4262" s="148" t="s">
        <v>532</v>
      </c>
      <c r="D4262" s="148" t="s">
        <v>97</v>
      </c>
      <c r="E4262" s="148">
        <v>96774.222222239987</v>
      </c>
      <c r="F4262" s="148" t="s">
        <v>37</v>
      </c>
    </row>
    <row r="4263" spans="1:6" ht="15.75">
      <c r="A4263" t="str">
        <f t="shared" si="66"/>
        <v>OrzensMazoutECS</v>
      </c>
      <c r="C4263" s="148" t="s">
        <v>532</v>
      </c>
      <c r="D4263" s="148" t="s">
        <v>70</v>
      </c>
      <c r="E4263" s="148">
        <v>363031.52941174008</v>
      </c>
      <c r="F4263" s="148" t="s">
        <v>37</v>
      </c>
    </row>
    <row r="4264" spans="1:6" ht="15.75">
      <c r="A4264" t="str">
        <f t="shared" si="66"/>
        <v>OrzensNon renseignéECS</v>
      </c>
      <c r="C4264" s="148" t="s">
        <v>532</v>
      </c>
      <c r="D4264" s="148" t="s">
        <v>696</v>
      </c>
      <c r="E4264" s="148">
        <v>0</v>
      </c>
      <c r="F4264" s="148" t="s">
        <v>37</v>
      </c>
    </row>
    <row r="4265" spans="1:6" ht="15.75">
      <c r="A4265" t="str">
        <f t="shared" si="66"/>
        <v>OrzensPACECS</v>
      </c>
      <c r="C4265" s="148" t="s">
        <v>532</v>
      </c>
      <c r="D4265" s="148" t="s">
        <v>69</v>
      </c>
      <c r="E4265" s="148">
        <v>6651.0769230799997</v>
      </c>
      <c r="F4265" s="148" t="s">
        <v>37</v>
      </c>
    </row>
    <row r="4266" spans="1:6" ht="15.75">
      <c r="A4266" t="str">
        <f t="shared" si="66"/>
        <v>OrzensSolaireECS</v>
      </c>
      <c r="C4266" s="148" t="s">
        <v>532</v>
      </c>
      <c r="D4266" s="148" t="s">
        <v>240</v>
      </c>
      <c r="E4266" s="148">
        <v>23012.36</v>
      </c>
      <c r="F4266" s="148" t="s">
        <v>37</v>
      </c>
    </row>
    <row r="4267" spans="1:6" ht="15.75">
      <c r="A4267" t="str">
        <f t="shared" si="66"/>
        <v>Oulens-sous-EchallensBoisECS</v>
      </c>
      <c r="C4267" s="148" t="s">
        <v>625</v>
      </c>
      <c r="D4267" s="148" t="s">
        <v>66</v>
      </c>
      <c r="E4267" s="148">
        <v>68967.568627440007</v>
      </c>
      <c r="F4267" s="148" t="s">
        <v>37</v>
      </c>
    </row>
    <row r="4268" spans="1:6" ht="15.75">
      <c r="A4268" t="str">
        <f t="shared" si="66"/>
        <v>Oulens-sous-EchallensElectricitéECS</v>
      </c>
      <c r="C4268" s="148" t="s">
        <v>625</v>
      </c>
      <c r="D4268" s="148" t="s">
        <v>97</v>
      </c>
      <c r="E4268" s="148">
        <v>185081.55555552998</v>
      </c>
      <c r="F4268" s="148" t="s">
        <v>37</v>
      </c>
    </row>
    <row r="4269" spans="1:6" ht="15.75">
      <c r="A4269" t="str">
        <f t="shared" si="66"/>
        <v>Oulens-sous-EchallensGazECS</v>
      </c>
      <c r="C4269" s="148" t="s">
        <v>625</v>
      </c>
      <c r="D4269" s="148" t="s">
        <v>239</v>
      </c>
      <c r="E4269" s="148">
        <v>27812.235294120001</v>
      </c>
      <c r="F4269" s="148" t="s">
        <v>37</v>
      </c>
    </row>
    <row r="4270" spans="1:6" ht="15.75">
      <c r="A4270" t="str">
        <f t="shared" si="66"/>
        <v>Oulens-sous-EchallensMazoutECS</v>
      </c>
      <c r="C4270" s="148" t="s">
        <v>625</v>
      </c>
      <c r="D4270" s="148" t="s">
        <v>70</v>
      </c>
      <c r="E4270" s="148">
        <v>590402.72941172996</v>
      </c>
      <c r="F4270" s="148" t="s">
        <v>37</v>
      </c>
    </row>
    <row r="4271" spans="1:6" ht="15.75">
      <c r="A4271" t="str">
        <f t="shared" si="66"/>
        <v>Oulens-sous-EchallensNon renseignéECS</v>
      </c>
      <c r="C4271" s="148" t="s">
        <v>625</v>
      </c>
      <c r="D4271" s="148" t="s">
        <v>696</v>
      </c>
      <c r="E4271" s="148">
        <v>0</v>
      </c>
      <c r="F4271" s="148" t="s">
        <v>37</v>
      </c>
    </row>
    <row r="4272" spans="1:6" ht="15.75">
      <c r="A4272" t="str">
        <f t="shared" si="66"/>
        <v>Oulens-sous-EchallensPACECS</v>
      </c>
      <c r="C4272" s="148" t="s">
        <v>625</v>
      </c>
      <c r="D4272" s="148" t="s">
        <v>69</v>
      </c>
      <c r="E4272" s="148">
        <v>2822.8494983199998</v>
      </c>
      <c r="F4272" s="148" t="s">
        <v>37</v>
      </c>
    </row>
    <row r="4273" spans="1:6" ht="15.75">
      <c r="A4273" t="str">
        <f t="shared" si="66"/>
        <v>Oulens-sous-EchallensSolaireECS</v>
      </c>
      <c r="C4273" s="148" t="s">
        <v>625</v>
      </c>
      <c r="D4273" s="148" t="s">
        <v>240</v>
      </c>
      <c r="E4273" s="148">
        <v>162405.6</v>
      </c>
      <c r="F4273" s="148" t="s">
        <v>37</v>
      </c>
    </row>
    <row r="4274" spans="1:6" ht="15.75">
      <c r="A4274" t="str">
        <f t="shared" si="66"/>
        <v>PaillyAutre agent énergétiqueECS</v>
      </c>
      <c r="C4274" s="148" t="s">
        <v>533</v>
      </c>
      <c r="D4274" s="148" t="s">
        <v>245</v>
      </c>
      <c r="E4274" s="148" t="e">
        <v>#N/A</v>
      </c>
      <c r="F4274" s="148" t="s">
        <v>37</v>
      </c>
    </row>
    <row r="4275" spans="1:6" ht="15.75">
      <c r="A4275" t="str">
        <f t="shared" si="66"/>
        <v>PaillyBoisECS</v>
      </c>
      <c r="C4275" s="148" t="s">
        <v>533</v>
      </c>
      <c r="D4275" s="148" t="s">
        <v>66</v>
      </c>
      <c r="E4275" s="148">
        <v>117467.79607843001</v>
      </c>
      <c r="F4275" s="148" t="s">
        <v>37</v>
      </c>
    </row>
    <row r="4276" spans="1:6" ht="15.75">
      <c r="A4276" t="str">
        <f t="shared" si="66"/>
        <v>PaillyElectricitéECS</v>
      </c>
      <c r="C4276" s="148" t="s">
        <v>533</v>
      </c>
      <c r="D4276" s="148" t="s">
        <v>97</v>
      </c>
      <c r="E4276" s="148">
        <v>218210.22222221</v>
      </c>
      <c r="F4276" s="148" t="s">
        <v>37</v>
      </c>
    </row>
    <row r="4277" spans="1:6" ht="15.75">
      <c r="A4277" t="str">
        <f t="shared" si="66"/>
        <v>PaillyGazECS</v>
      </c>
      <c r="C4277" s="148" t="s">
        <v>533</v>
      </c>
      <c r="D4277" s="148" t="s">
        <v>239</v>
      </c>
      <c r="E4277" s="148">
        <v>205807.76982102002</v>
      </c>
      <c r="F4277" s="148" t="s">
        <v>37</v>
      </c>
    </row>
    <row r="4278" spans="1:6" ht="15.75">
      <c r="A4278" t="str">
        <f t="shared" si="66"/>
        <v>PaillyMazoutECS</v>
      </c>
      <c r="C4278" s="148" t="s">
        <v>533</v>
      </c>
      <c r="D4278" s="148" t="s">
        <v>70</v>
      </c>
      <c r="E4278" s="148">
        <v>353963.48235293018</v>
      </c>
      <c r="F4278" s="148" t="s">
        <v>37</v>
      </c>
    </row>
    <row r="4279" spans="1:6" ht="15.75">
      <c r="A4279" t="str">
        <f t="shared" si="66"/>
        <v>PaillyNon renseignéECS</v>
      </c>
      <c r="C4279" s="148" t="s">
        <v>533</v>
      </c>
      <c r="D4279" s="148" t="s">
        <v>696</v>
      </c>
      <c r="E4279" s="148">
        <v>0</v>
      </c>
      <c r="F4279" s="148" t="s">
        <v>37</v>
      </c>
    </row>
    <row r="4280" spans="1:6" ht="15.75">
      <c r="A4280" t="str">
        <f t="shared" si="66"/>
        <v>PaillyPACECS</v>
      </c>
      <c r="C4280" s="148" t="s">
        <v>533</v>
      </c>
      <c r="D4280" s="148" t="s">
        <v>69</v>
      </c>
      <c r="E4280" s="148">
        <v>19404.749163879998</v>
      </c>
      <c r="F4280" s="148" t="s">
        <v>37</v>
      </c>
    </row>
    <row r="4281" spans="1:6" ht="15.75">
      <c r="A4281" t="str">
        <f t="shared" si="66"/>
        <v>PaillySolaireECS</v>
      </c>
      <c r="C4281" s="148" t="s">
        <v>533</v>
      </c>
      <c r="D4281" s="148" t="s">
        <v>240</v>
      </c>
      <c r="E4281" s="148">
        <v>109529</v>
      </c>
      <c r="F4281" s="148" t="s">
        <v>37</v>
      </c>
    </row>
    <row r="4282" spans="1:6" ht="15.75">
      <c r="A4282" t="str">
        <f t="shared" si="66"/>
        <v>PampignyBoisECS</v>
      </c>
      <c r="C4282" s="148" t="s">
        <v>534</v>
      </c>
      <c r="D4282" s="148" t="s">
        <v>66</v>
      </c>
      <c r="E4282" s="148" t="e">
        <v>#N/A</v>
      </c>
      <c r="F4282" s="148" t="s">
        <v>37</v>
      </c>
    </row>
    <row r="4283" spans="1:6" ht="15.75">
      <c r="A4283" t="str">
        <f t="shared" si="66"/>
        <v>PampignyCADECS</v>
      </c>
      <c r="C4283" s="148" t="s">
        <v>534</v>
      </c>
      <c r="D4283" s="148" t="s">
        <v>242</v>
      </c>
      <c r="E4283" s="148" t="e">
        <v>#N/A</v>
      </c>
      <c r="F4283" s="148" t="s">
        <v>37</v>
      </c>
    </row>
    <row r="4284" spans="1:6" ht="15.75">
      <c r="A4284" t="str">
        <f t="shared" si="66"/>
        <v>PampignyElectricitéECS</v>
      </c>
      <c r="C4284" s="148" t="s">
        <v>534</v>
      </c>
      <c r="D4284" s="148" t="s">
        <v>97</v>
      </c>
      <c r="E4284" s="148" t="e">
        <v>#N/A</v>
      </c>
      <c r="F4284" s="148" t="s">
        <v>37</v>
      </c>
    </row>
    <row r="4285" spans="1:6" ht="15.75">
      <c r="A4285" t="str">
        <f t="shared" si="66"/>
        <v>PampignyGazECS</v>
      </c>
      <c r="C4285" s="148" t="s">
        <v>534</v>
      </c>
      <c r="D4285" s="148" t="s">
        <v>239</v>
      </c>
      <c r="E4285" s="148" t="e">
        <v>#N/A</v>
      </c>
      <c r="F4285" s="148" t="s">
        <v>37</v>
      </c>
    </row>
    <row r="4286" spans="1:6" ht="15.75">
      <c r="A4286" t="str">
        <f t="shared" si="66"/>
        <v>PampignyMazoutECS</v>
      </c>
      <c r="C4286" s="148" t="s">
        <v>534</v>
      </c>
      <c r="D4286" s="148" t="s">
        <v>70</v>
      </c>
      <c r="E4286" s="148" t="e">
        <v>#N/A</v>
      </c>
      <c r="F4286" s="148" t="s">
        <v>37</v>
      </c>
    </row>
    <row r="4287" spans="1:6" ht="15.75">
      <c r="A4287" t="str">
        <f t="shared" si="66"/>
        <v>PampignyNon renseignéECS</v>
      </c>
      <c r="C4287" s="148" t="s">
        <v>534</v>
      </c>
      <c r="D4287" s="148" t="s">
        <v>696</v>
      </c>
      <c r="E4287" s="148" t="e">
        <v>#N/A</v>
      </c>
      <c r="F4287" s="148" t="s">
        <v>37</v>
      </c>
    </row>
    <row r="4288" spans="1:6" ht="15.75">
      <c r="A4288" t="str">
        <f t="shared" si="66"/>
        <v>PampignyPACECS</v>
      </c>
      <c r="C4288" s="148" t="s">
        <v>534</v>
      </c>
      <c r="D4288" s="148" t="s">
        <v>69</v>
      </c>
      <c r="E4288" s="148" t="e">
        <v>#N/A</v>
      </c>
      <c r="F4288" s="148" t="s">
        <v>37</v>
      </c>
    </row>
    <row r="4289" spans="1:6" ht="15.75">
      <c r="A4289" t="str">
        <f t="shared" si="66"/>
        <v>PampignySolaireECS</v>
      </c>
      <c r="C4289" s="148" t="s">
        <v>534</v>
      </c>
      <c r="D4289" s="148" t="s">
        <v>240</v>
      </c>
      <c r="E4289" s="148" t="e">
        <v>#N/A</v>
      </c>
      <c r="F4289" s="148" t="s">
        <v>37</v>
      </c>
    </row>
    <row r="4290" spans="1:6" ht="15.75">
      <c r="A4290" t="str">
        <f t="shared" si="66"/>
        <v>PaudexAutre agent énergétiqueECS</v>
      </c>
      <c r="C4290" s="148" t="s">
        <v>535</v>
      </c>
      <c r="D4290" s="148" t="s">
        <v>245</v>
      </c>
      <c r="E4290" s="148" t="e">
        <v>#N/A</v>
      </c>
      <c r="F4290" s="148" t="s">
        <v>37</v>
      </c>
    </row>
    <row r="4291" spans="1:6" ht="15.75">
      <c r="A4291" t="str">
        <f t="shared" si="66"/>
        <v>PaudexBoisECS</v>
      </c>
      <c r="C4291" s="148" t="s">
        <v>535</v>
      </c>
      <c r="D4291" s="148" t="s">
        <v>66</v>
      </c>
      <c r="E4291" s="148">
        <v>14430.870588239999</v>
      </c>
      <c r="F4291" s="148" t="s">
        <v>37</v>
      </c>
    </row>
    <row r="4292" spans="1:6" ht="15.75">
      <c r="A4292" t="str">
        <f t="shared" si="66"/>
        <v>PaudexCADECS</v>
      </c>
      <c r="C4292" s="148" t="s">
        <v>535</v>
      </c>
      <c r="D4292" s="148" t="s">
        <v>242</v>
      </c>
      <c r="E4292" s="148">
        <v>4132.8</v>
      </c>
      <c r="F4292" s="148" t="s">
        <v>37</v>
      </c>
    </row>
    <row r="4293" spans="1:6" ht="15.75">
      <c r="A4293" t="str">
        <f t="shared" si="66"/>
        <v>PaudexElectricitéECS</v>
      </c>
      <c r="C4293" s="148" t="s">
        <v>535</v>
      </c>
      <c r="D4293" s="148" t="s">
        <v>97</v>
      </c>
      <c r="E4293" s="148">
        <v>291368</v>
      </c>
      <c r="F4293" s="148" t="s">
        <v>37</v>
      </c>
    </row>
    <row r="4294" spans="1:6" ht="15.75">
      <c r="A4294" t="str">
        <f t="shared" si="66"/>
        <v>PaudexGazECS</v>
      </c>
      <c r="C4294" s="148" t="s">
        <v>535</v>
      </c>
      <c r="D4294" s="148" t="s">
        <v>239</v>
      </c>
      <c r="E4294" s="148">
        <v>1259872.7826087403</v>
      </c>
      <c r="F4294" s="148" t="s">
        <v>37</v>
      </c>
    </row>
    <row r="4295" spans="1:6" ht="15.75">
      <c r="A4295" t="str">
        <f t="shared" si="66"/>
        <v>PaudexMazoutECS</v>
      </c>
      <c r="C4295" s="148" t="s">
        <v>535</v>
      </c>
      <c r="D4295" s="148" t="s">
        <v>70</v>
      </c>
      <c r="E4295" s="148">
        <v>1100235.2941177005</v>
      </c>
      <c r="F4295" s="148" t="s">
        <v>37</v>
      </c>
    </row>
    <row r="4296" spans="1:6" ht="15.75">
      <c r="A4296" t="str">
        <f t="shared" si="66"/>
        <v>PaudexPACECS</v>
      </c>
      <c r="C4296" s="148" t="s">
        <v>535</v>
      </c>
      <c r="D4296" s="148" t="s">
        <v>69</v>
      </c>
      <c r="E4296" s="148">
        <v>24112.05797102</v>
      </c>
      <c r="F4296" s="148" t="s">
        <v>37</v>
      </c>
    </row>
    <row r="4297" spans="1:6" ht="15.75">
      <c r="A4297" t="str">
        <f t="shared" si="66"/>
        <v>PaudexSolaireECS</v>
      </c>
      <c r="C4297" s="148" t="s">
        <v>535</v>
      </c>
      <c r="D4297" s="148" t="s">
        <v>240</v>
      </c>
      <c r="E4297" s="148">
        <v>152730.19999999998</v>
      </c>
      <c r="F4297" s="148" t="s">
        <v>37</v>
      </c>
    </row>
    <row r="4298" spans="1:6" ht="15.75">
      <c r="A4298" t="str">
        <f t="shared" si="66"/>
        <v>PayerneAutre agent énergétiqueECS</v>
      </c>
      <c r="C4298" s="148" t="s">
        <v>536</v>
      </c>
      <c r="D4298" s="148" t="s">
        <v>245</v>
      </c>
      <c r="E4298" s="148">
        <v>9473.8823529399997</v>
      </c>
      <c r="F4298" s="148" t="s">
        <v>37</v>
      </c>
    </row>
    <row r="4299" spans="1:6" ht="15.75">
      <c r="A4299" t="str">
        <f t="shared" si="66"/>
        <v>PayerneBoisECS</v>
      </c>
      <c r="C4299" s="148" t="s">
        <v>536</v>
      </c>
      <c r="D4299" s="148" t="s">
        <v>66</v>
      </c>
      <c r="E4299" s="148">
        <v>783723.4039215598</v>
      </c>
      <c r="F4299" s="148" t="s">
        <v>37</v>
      </c>
    </row>
    <row r="4300" spans="1:6" ht="15.75">
      <c r="A4300" t="str">
        <f t="shared" si="66"/>
        <v>PayerneCADECS</v>
      </c>
      <c r="C4300" s="148" t="s">
        <v>536</v>
      </c>
      <c r="D4300" s="148" t="s">
        <v>242</v>
      </c>
      <c r="E4300" s="148">
        <v>51122.400000000001</v>
      </c>
      <c r="F4300" s="148" t="s">
        <v>37</v>
      </c>
    </row>
    <row r="4301" spans="1:6" ht="15.75">
      <c r="A4301" t="str">
        <f t="shared" si="66"/>
        <v>PayerneCharbonECS</v>
      </c>
      <c r="C4301" s="148" t="s">
        <v>536</v>
      </c>
      <c r="D4301" s="148" t="s">
        <v>695</v>
      </c>
      <c r="E4301" s="148" t="e">
        <v>#N/A</v>
      </c>
      <c r="F4301" s="148" t="s">
        <v>37</v>
      </c>
    </row>
    <row r="4302" spans="1:6" ht="15.75">
      <c r="A4302" t="str">
        <f t="shared" si="66"/>
        <v>PayerneElectricitéECS</v>
      </c>
      <c r="C4302" s="148" t="s">
        <v>536</v>
      </c>
      <c r="D4302" s="148" t="s">
        <v>97</v>
      </c>
      <c r="E4302" s="148">
        <v>1963152.1777777304</v>
      </c>
      <c r="F4302" s="148" t="s">
        <v>37</v>
      </c>
    </row>
    <row r="4303" spans="1:6" ht="15.75">
      <c r="A4303" t="str">
        <f t="shared" si="66"/>
        <v>PayerneGazECS</v>
      </c>
      <c r="C4303" s="148" t="s">
        <v>536</v>
      </c>
      <c r="D4303" s="148" t="s">
        <v>239</v>
      </c>
      <c r="E4303" s="148">
        <v>1856386.4286729505</v>
      </c>
      <c r="F4303" s="148" t="s">
        <v>37</v>
      </c>
    </row>
    <row r="4304" spans="1:6" ht="15.75">
      <c r="A4304" t="str">
        <f t="shared" si="66"/>
        <v>PayerneMazoutECS</v>
      </c>
      <c r="C4304" s="148" t="s">
        <v>536</v>
      </c>
      <c r="D4304" s="148" t="s">
        <v>70</v>
      </c>
      <c r="E4304" s="148">
        <v>6642634.0235294737</v>
      </c>
      <c r="F4304" s="148" t="s">
        <v>37</v>
      </c>
    </row>
    <row r="4305" spans="1:6" ht="15.75">
      <c r="A4305" t="str">
        <f t="shared" si="66"/>
        <v>PayerneNon renseignéECS</v>
      </c>
      <c r="C4305" s="148" t="s">
        <v>536</v>
      </c>
      <c r="D4305" s="148" t="s">
        <v>696</v>
      </c>
      <c r="E4305" s="148">
        <v>0</v>
      </c>
      <c r="F4305" s="148" t="s">
        <v>37</v>
      </c>
    </row>
    <row r="4306" spans="1:6" ht="15.75">
      <c r="A4306" t="str">
        <f t="shared" si="66"/>
        <v>PayernePACECS</v>
      </c>
      <c r="C4306" s="148" t="s">
        <v>536</v>
      </c>
      <c r="D4306" s="148" t="s">
        <v>69</v>
      </c>
      <c r="E4306" s="148">
        <v>126608.03579832004</v>
      </c>
      <c r="F4306" s="148" t="s">
        <v>37</v>
      </c>
    </row>
    <row r="4307" spans="1:6" ht="15.75">
      <c r="A4307" t="str">
        <f t="shared" ref="A4307:A4370" si="67">_xlfn.CONCAT(C4307,D4307,F4307)</f>
        <v>PayerneSolaireECS</v>
      </c>
      <c r="C4307" s="148" t="s">
        <v>536</v>
      </c>
      <c r="D4307" s="148" t="s">
        <v>240</v>
      </c>
      <c r="E4307" s="148">
        <v>662542.16000000015</v>
      </c>
      <c r="F4307" s="148" t="s">
        <v>37</v>
      </c>
    </row>
    <row r="4308" spans="1:6" ht="15.75">
      <c r="A4308" t="str">
        <f t="shared" si="67"/>
        <v>PenthalazAutre agent énergétiqueECS</v>
      </c>
      <c r="C4308" s="148" t="s">
        <v>537</v>
      </c>
      <c r="D4308" s="148" t="s">
        <v>245</v>
      </c>
      <c r="E4308" s="148">
        <v>18736.941176470002</v>
      </c>
      <c r="F4308" s="148" t="s">
        <v>37</v>
      </c>
    </row>
    <row r="4309" spans="1:6" ht="15.75">
      <c r="A4309" t="str">
        <f t="shared" si="67"/>
        <v>PenthalazBoisECS</v>
      </c>
      <c r="C4309" s="148" t="s">
        <v>537</v>
      </c>
      <c r="D4309" s="148" t="s">
        <v>66</v>
      </c>
      <c r="E4309" s="148">
        <v>106642.33725491</v>
      </c>
      <c r="F4309" s="148" t="s">
        <v>37</v>
      </c>
    </row>
    <row r="4310" spans="1:6" ht="15.75">
      <c r="A4310" t="str">
        <f t="shared" si="67"/>
        <v>PenthalazCADECS</v>
      </c>
      <c r="C4310" s="148" t="s">
        <v>537</v>
      </c>
      <c r="D4310" s="148" t="s">
        <v>242</v>
      </c>
      <c r="E4310" s="148">
        <v>84392</v>
      </c>
      <c r="F4310" s="148" t="s">
        <v>37</v>
      </c>
    </row>
    <row r="4311" spans="1:6" ht="15.75">
      <c r="A4311" t="str">
        <f t="shared" si="67"/>
        <v>PenthalazCharbonECS</v>
      </c>
      <c r="C4311" s="148" t="s">
        <v>537</v>
      </c>
      <c r="D4311" s="148" t="s">
        <v>695</v>
      </c>
      <c r="E4311" s="148" t="e">
        <v>#N/A</v>
      </c>
      <c r="F4311" s="148" t="s">
        <v>37</v>
      </c>
    </row>
    <row r="4312" spans="1:6" ht="15.75">
      <c r="A4312" t="str">
        <f t="shared" si="67"/>
        <v>PenthalazElectricitéECS</v>
      </c>
      <c r="C4312" s="148" t="s">
        <v>537</v>
      </c>
      <c r="D4312" s="148" t="s">
        <v>97</v>
      </c>
      <c r="E4312" s="148">
        <v>518227.11111109011</v>
      </c>
      <c r="F4312" s="148" t="s">
        <v>37</v>
      </c>
    </row>
    <row r="4313" spans="1:6" ht="15.75">
      <c r="A4313" t="str">
        <f t="shared" si="67"/>
        <v>PenthalazGazECS</v>
      </c>
      <c r="C4313" s="148" t="s">
        <v>537</v>
      </c>
      <c r="D4313" s="148" t="s">
        <v>239</v>
      </c>
      <c r="E4313" s="148">
        <v>1909588.0767263211</v>
      </c>
      <c r="F4313" s="148" t="s">
        <v>37</v>
      </c>
    </row>
    <row r="4314" spans="1:6" ht="15.75">
      <c r="A4314" t="str">
        <f t="shared" si="67"/>
        <v>PenthalazMazoutECS</v>
      </c>
      <c r="C4314" s="148" t="s">
        <v>537</v>
      </c>
      <c r="D4314" s="148" t="s">
        <v>70</v>
      </c>
      <c r="E4314" s="148">
        <v>1073082.2117646795</v>
      </c>
      <c r="F4314" s="148" t="s">
        <v>37</v>
      </c>
    </row>
    <row r="4315" spans="1:6" ht="15.75">
      <c r="A4315" t="str">
        <f t="shared" si="67"/>
        <v>PenthalazNon renseignéECS</v>
      </c>
      <c r="C4315" s="148" t="s">
        <v>537</v>
      </c>
      <c r="D4315" s="148" t="s">
        <v>696</v>
      </c>
      <c r="E4315" s="148">
        <v>0</v>
      </c>
      <c r="F4315" s="148" t="s">
        <v>37</v>
      </c>
    </row>
    <row r="4316" spans="1:6" ht="15.75">
      <c r="A4316" t="str">
        <f t="shared" si="67"/>
        <v>PenthalazPACECS</v>
      </c>
      <c r="C4316" s="148" t="s">
        <v>537</v>
      </c>
      <c r="D4316" s="148" t="s">
        <v>69</v>
      </c>
      <c r="E4316" s="148">
        <v>17194.153846149999</v>
      </c>
      <c r="F4316" s="148" t="s">
        <v>37</v>
      </c>
    </row>
    <row r="4317" spans="1:6" ht="15.75">
      <c r="A4317" t="str">
        <f t="shared" si="67"/>
        <v>PenthalazSolaireECS</v>
      </c>
      <c r="C4317" s="148" t="s">
        <v>537</v>
      </c>
      <c r="D4317" s="148" t="s">
        <v>240</v>
      </c>
      <c r="E4317" s="148">
        <v>185550.4</v>
      </c>
      <c r="F4317" s="148" t="s">
        <v>37</v>
      </c>
    </row>
    <row r="4318" spans="1:6" ht="15.75">
      <c r="A4318" t="str">
        <f t="shared" si="67"/>
        <v>PenthazBoisECS</v>
      </c>
      <c r="C4318" s="148" t="s">
        <v>538</v>
      </c>
      <c r="D4318" s="148" t="s">
        <v>66</v>
      </c>
      <c r="E4318" s="148">
        <v>86955.921568629987</v>
      </c>
      <c r="F4318" s="148" t="s">
        <v>37</v>
      </c>
    </row>
    <row r="4319" spans="1:6" ht="15.75">
      <c r="A4319" t="str">
        <f t="shared" si="67"/>
        <v>PenthazCADECS</v>
      </c>
      <c r="C4319" s="148" t="s">
        <v>538</v>
      </c>
      <c r="D4319" s="148" t="s">
        <v>242</v>
      </c>
      <c r="E4319" s="148">
        <v>2374.4</v>
      </c>
      <c r="F4319" s="148" t="s">
        <v>37</v>
      </c>
    </row>
    <row r="4320" spans="1:6" ht="15.75">
      <c r="A4320" t="str">
        <f t="shared" si="67"/>
        <v>PenthazElectricitéECS</v>
      </c>
      <c r="C4320" s="148" t="s">
        <v>538</v>
      </c>
      <c r="D4320" s="148" t="s">
        <v>97</v>
      </c>
      <c r="E4320" s="148">
        <v>333571.7777777501</v>
      </c>
      <c r="F4320" s="148" t="s">
        <v>37</v>
      </c>
    </row>
    <row r="4321" spans="1:6" ht="15.75">
      <c r="A4321" t="str">
        <f t="shared" si="67"/>
        <v>PenthazGazECS</v>
      </c>
      <c r="C4321" s="148" t="s">
        <v>538</v>
      </c>
      <c r="D4321" s="148" t="s">
        <v>239</v>
      </c>
      <c r="E4321" s="148">
        <v>1064800.4992328291</v>
      </c>
      <c r="F4321" s="148" t="s">
        <v>37</v>
      </c>
    </row>
    <row r="4322" spans="1:6" ht="15.75">
      <c r="A4322" t="str">
        <f t="shared" si="67"/>
        <v>PenthazMazoutECS</v>
      </c>
      <c r="C4322" s="148" t="s">
        <v>538</v>
      </c>
      <c r="D4322" s="148" t="s">
        <v>70</v>
      </c>
      <c r="E4322" s="148">
        <v>697369.64705884026</v>
      </c>
      <c r="F4322" s="148" t="s">
        <v>37</v>
      </c>
    </row>
    <row r="4323" spans="1:6" ht="15.75">
      <c r="A4323" t="str">
        <f t="shared" si="67"/>
        <v>PenthazNon renseignéECS</v>
      </c>
      <c r="C4323" s="148" t="s">
        <v>538</v>
      </c>
      <c r="D4323" s="148" t="s">
        <v>696</v>
      </c>
      <c r="E4323" s="148">
        <v>0</v>
      </c>
      <c r="F4323" s="148" t="s">
        <v>37</v>
      </c>
    </row>
    <row r="4324" spans="1:6" ht="15.75">
      <c r="A4324" t="str">
        <f t="shared" si="67"/>
        <v>PenthazPACECS</v>
      </c>
      <c r="C4324" s="148" t="s">
        <v>538</v>
      </c>
      <c r="D4324" s="148" t="s">
        <v>69</v>
      </c>
      <c r="E4324" s="148">
        <v>7038.3244147199994</v>
      </c>
      <c r="F4324" s="148" t="s">
        <v>37</v>
      </c>
    </row>
    <row r="4325" spans="1:6" ht="15.75">
      <c r="A4325" t="str">
        <f t="shared" si="67"/>
        <v>PenthazSolaireECS</v>
      </c>
      <c r="C4325" s="148" t="s">
        <v>538</v>
      </c>
      <c r="D4325" s="148" t="s">
        <v>240</v>
      </c>
      <c r="E4325" s="148">
        <v>221952.57000000004</v>
      </c>
      <c r="F4325" s="148" t="s">
        <v>37</v>
      </c>
    </row>
    <row r="4326" spans="1:6" ht="15.75">
      <c r="A4326" t="str">
        <f t="shared" si="67"/>
        <v>PenthéréazBoisECS</v>
      </c>
      <c r="C4326" s="148" t="s">
        <v>624</v>
      </c>
      <c r="D4326" s="148" t="s">
        <v>66</v>
      </c>
      <c r="E4326" s="148">
        <v>115109.86666666999</v>
      </c>
      <c r="F4326" s="148" t="s">
        <v>37</v>
      </c>
    </row>
    <row r="4327" spans="1:6" ht="15.75">
      <c r="A4327" t="str">
        <f t="shared" si="67"/>
        <v>PenthéréazElectricitéECS</v>
      </c>
      <c r="C4327" s="148" t="s">
        <v>624</v>
      </c>
      <c r="D4327" s="148" t="s">
        <v>97</v>
      </c>
      <c r="E4327" s="148">
        <v>265206.02614379005</v>
      </c>
      <c r="F4327" s="148" t="s">
        <v>37</v>
      </c>
    </row>
    <row r="4328" spans="1:6" ht="15.75">
      <c r="A4328" t="str">
        <f t="shared" si="67"/>
        <v>PenthéréazGazECS</v>
      </c>
      <c r="C4328" s="148" t="s">
        <v>624</v>
      </c>
      <c r="D4328" s="148" t="s">
        <v>239</v>
      </c>
      <c r="E4328" s="148">
        <v>17867.294117649999</v>
      </c>
      <c r="F4328" s="148" t="s">
        <v>37</v>
      </c>
    </row>
    <row r="4329" spans="1:6" ht="15.75">
      <c r="A4329" t="str">
        <f t="shared" si="67"/>
        <v>PenthéréazMazoutECS</v>
      </c>
      <c r="C4329" s="148" t="s">
        <v>624</v>
      </c>
      <c r="D4329" s="148" t="s">
        <v>70</v>
      </c>
      <c r="E4329" s="148">
        <v>376676.42352937005</v>
      </c>
      <c r="F4329" s="148" t="s">
        <v>37</v>
      </c>
    </row>
    <row r="4330" spans="1:6" ht="15.75">
      <c r="A4330" t="str">
        <f t="shared" si="67"/>
        <v>PenthéréazNon renseignéECS</v>
      </c>
      <c r="C4330" s="148" t="s">
        <v>624</v>
      </c>
      <c r="D4330" s="148" t="s">
        <v>696</v>
      </c>
      <c r="E4330" s="148">
        <v>0</v>
      </c>
      <c r="F4330" s="148" t="s">
        <v>37</v>
      </c>
    </row>
    <row r="4331" spans="1:6" ht="15.75">
      <c r="A4331" t="str">
        <f t="shared" si="67"/>
        <v>PenthéréazPACECS</v>
      </c>
      <c r="C4331" s="148" t="s">
        <v>624</v>
      </c>
      <c r="D4331" s="148" t="s">
        <v>69</v>
      </c>
      <c r="E4331" s="148">
        <v>14098.18945867</v>
      </c>
      <c r="F4331" s="148" t="s">
        <v>37</v>
      </c>
    </row>
    <row r="4332" spans="1:6" ht="15.75">
      <c r="A4332" t="str">
        <f t="shared" si="67"/>
        <v>PenthéréazSolaireECS</v>
      </c>
      <c r="C4332" s="148" t="s">
        <v>624</v>
      </c>
      <c r="D4332" s="148" t="s">
        <v>240</v>
      </c>
      <c r="E4332" s="148">
        <v>87042.62</v>
      </c>
      <c r="F4332" s="148" t="s">
        <v>37</v>
      </c>
    </row>
    <row r="4333" spans="1:6" ht="15.75">
      <c r="A4333" t="str">
        <f t="shared" si="67"/>
        <v>PerroyAutre agent énergétiqueECS</v>
      </c>
      <c r="C4333" s="148" t="s">
        <v>539</v>
      </c>
      <c r="D4333" s="148" t="s">
        <v>245</v>
      </c>
      <c r="E4333" s="148">
        <v>21543.529411759999</v>
      </c>
      <c r="F4333" s="148" t="s">
        <v>37</v>
      </c>
    </row>
    <row r="4334" spans="1:6" ht="15.75">
      <c r="A4334" t="str">
        <f t="shared" si="67"/>
        <v>PerroyBoisECS</v>
      </c>
      <c r="C4334" s="148" t="s">
        <v>539</v>
      </c>
      <c r="D4334" s="148" t="s">
        <v>66</v>
      </c>
      <c r="E4334" s="148">
        <v>59648.454901959994</v>
      </c>
      <c r="F4334" s="148" t="s">
        <v>37</v>
      </c>
    </row>
    <row r="4335" spans="1:6" ht="15.75">
      <c r="A4335" t="str">
        <f t="shared" si="67"/>
        <v>PerroyCADECS</v>
      </c>
      <c r="C4335" s="148" t="s">
        <v>539</v>
      </c>
      <c r="D4335" s="148" t="s">
        <v>242</v>
      </c>
      <c r="E4335" s="148" t="e">
        <v>#N/A</v>
      </c>
      <c r="F4335" s="148" t="s">
        <v>37</v>
      </c>
    </row>
    <row r="4336" spans="1:6" ht="15.75">
      <c r="A4336" t="str">
        <f t="shared" si="67"/>
        <v>PerroyElectricitéECS</v>
      </c>
      <c r="C4336" s="148" t="s">
        <v>539</v>
      </c>
      <c r="D4336" s="148" t="s">
        <v>97</v>
      </c>
      <c r="E4336" s="148">
        <v>177678.66666665004</v>
      </c>
      <c r="F4336" s="148" t="s">
        <v>37</v>
      </c>
    </row>
    <row r="4337" spans="1:6" ht="15.75">
      <c r="A4337" t="str">
        <f t="shared" si="67"/>
        <v>PerroyGazECS</v>
      </c>
      <c r="C4337" s="148" t="s">
        <v>539</v>
      </c>
      <c r="D4337" s="148" t="s">
        <v>239</v>
      </c>
      <c r="E4337" s="148">
        <v>1025937.4731458104</v>
      </c>
      <c r="F4337" s="148" t="s">
        <v>37</v>
      </c>
    </row>
    <row r="4338" spans="1:6" ht="15.75">
      <c r="A4338" t="str">
        <f t="shared" si="67"/>
        <v>PerroyMazoutECS</v>
      </c>
      <c r="C4338" s="148" t="s">
        <v>539</v>
      </c>
      <c r="D4338" s="148" t="s">
        <v>70</v>
      </c>
      <c r="E4338" s="148">
        <v>750646.57219251024</v>
      </c>
      <c r="F4338" s="148" t="s">
        <v>37</v>
      </c>
    </row>
    <row r="4339" spans="1:6" ht="15.75">
      <c r="A4339" t="str">
        <f t="shared" si="67"/>
        <v>PerroyNon renseignéECS</v>
      </c>
      <c r="C4339" s="148" t="s">
        <v>539</v>
      </c>
      <c r="D4339" s="148" t="s">
        <v>696</v>
      </c>
      <c r="E4339" s="148">
        <v>0</v>
      </c>
      <c r="F4339" s="148" t="s">
        <v>37</v>
      </c>
    </row>
    <row r="4340" spans="1:6" ht="15.75">
      <c r="A4340" t="str">
        <f t="shared" si="67"/>
        <v>PerroyPACECS</v>
      </c>
      <c r="C4340" s="148" t="s">
        <v>539</v>
      </c>
      <c r="D4340" s="148" t="s">
        <v>69</v>
      </c>
      <c r="E4340" s="148">
        <v>34248.307692319999</v>
      </c>
      <c r="F4340" s="148" t="s">
        <v>37</v>
      </c>
    </row>
    <row r="4341" spans="1:6" ht="15.75">
      <c r="A4341" t="str">
        <f t="shared" si="67"/>
        <v>PerroySolaireECS</v>
      </c>
      <c r="C4341" s="148" t="s">
        <v>539</v>
      </c>
      <c r="D4341" s="148" t="s">
        <v>240</v>
      </c>
      <c r="E4341" s="148">
        <v>185316.59999999998</v>
      </c>
      <c r="F4341" s="148" t="s">
        <v>37</v>
      </c>
    </row>
    <row r="4342" spans="1:6" ht="15.75">
      <c r="A4342" t="str">
        <f t="shared" si="67"/>
        <v>PerroyCharbonECS</v>
      </c>
      <c r="C4342" s="148" t="s">
        <v>539</v>
      </c>
      <c r="D4342" s="148" t="s">
        <v>695</v>
      </c>
      <c r="E4342" s="148" t="e">
        <v>#N/A</v>
      </c>
      <c r="F4342" s="148" t="s">
        <v>37</v>
      </c>
    </row>
    <row r="4343" spans="1:6" ht="15.75">
      <c r="A4343" t="str">
        <f t="shared" si="67"/>
        <v>Poliez-PittetBoisECS</v>
      </c>
      <c r="C4343" s="148" t="s">
        <v>540</v>
      </c>
      <c r="D4343" s="148" t="s">
        <v>66</v>
      </c>
      <c r="E4343" s="148">
        <v>380266.36862746003</v>
      </c>
      <c r="F4343" s="148" t="s">
        <v>37</v>
      </c>
    </row>
    <row r="4344" spans="1:6" ht="15.75">
      <c r="A4344" t="str">
        <f t="shared" si="67"/>
        <v>Poliez-PittetCharbonECS</v>
      </c>
      <c r="C4344" s="148" t="s">
        <v>540</v>
      </c>
      <c r="D4344" s="148" t="s">
        <v>695</v>
      </c>
      <c r="E4344" s="148" t="e">
        <v>#N/A</v>
      </c>
      <c r="F4344" s="148" t="s">
        <v>37</v>
      </c>
    </row>
    <row r="4345" spans="1:6" ht="15.75">
      <c r="A4345" t="str">
        <f t="shared" si="67"/>
        <v>Poliez-PittetElectricitéECS</v>
      </c>
      <c r="C4345" s="148" t="s">
        <v>540</v>
      </c>
      <c r="D4345" s="148" t="s">
        <v>97</v>
      </c>
      <c r="E4345" s="148">
        <v>168662.66666666997</v>
      </c>
      <c r="F4345" s="148" t="s">
        <v>37</v>
      </c>
    </row>
    <row r="4346" spans="1:6" ht="15.75">
      <c r="A4346" t="str">
        <f t="shared" si="67"/>
        <v>Poliez-PittetGazECS</v>
      </c>
      <c r="C4346" s="148" t="s">
        <v>540</v>
      </c>
      <c r="D4346" s="148" t="s">
        <v>239</v>
      </c>
      <c r="E4346" s="148">
        <v>255800.37340153003</v>
      </c>
      <c r="F4346" s="148" t="s">
        <v>37</v>
      </c>
    </row>
    <row r="4347" spans="1:6" ht="15.75">
      <c r="A4347" t="str">
        <f t="shared" si="67"/>
        <v>Poliez-PittetMazoutECS</v>
      </c>
      <c r="C4347" s="148" t="s">
        <v>540</v>
      </c>
      <c r="D4347" s="148" t="s">
        <v>70</v>
      </c>
      <c r="E4347" s="148">
        <v>530546.47058822995</v>
      </c>
      <c r="F4347" s="148" t="s">
        <v>37</v>
      </c>
    </row>
    <row r="4348" spans="1:6" ht="15.75">
      <c r="A4348" t="str">
        <f t="shared" si="67"/>
        <v>Poliez-PittetNon renseignéECS</v>
      </c>
      <c r="C4348" s="148" t="s">
        <v>540</v>
      </c>
      <c r="D4348" s="148" t="s">
        <v>696</v>
      </c>
      <c r="E4348" s="148">
        <v>0</v>
      </c>
      <c r="F4348" s="148" t="s">
        <v>37</v>
      </c>
    </row>
    <row r="4349" spans="1:6" ht="15.75">
      <c r="A4349" t="str">
        <f t="shared" si="67"/>
        <v>Poliez-PittetPACECS</v>
      </c>
      <c r="C4349" s="148" t="s">
        <v>540</v>
      </c>
      <c r="D4349" s="148" t="s">
        <v>69</v>
      </c>
      <c r="E4349" s="148">
        <v>6227.8461538399997</v>
      </c>
      <c r="F4349" s="148" t="s">
        <v>37</v>
      </c>
    </row>
    <row r="4350" spans="1:6" ht="15.75">
      <c r="A4350" t="str">
        <f t="shared" si="67"/>
        <v>Poliez-PittetSolaireECS</v>
      </c>
      <c r="C4350" s="148" t="s">
        <v>540</v>
      </c>
      <c r="D4350" s="148" t="s">
        <v>240</v>
      </c>
      <c r="E4350" s="148">
        <v>126308.70000000001</v>
      </c>
      <c r="F4350" s="148" t="s">
        <v>37</v>
      </c>
    </row>
    <row r="4351" spans="1:6" ht="15.75">
      <c r="A4351" t="str">
        <f t="shared" si="67"/>
        <v>PompaplesBoisECS</v>
      </c>
      <c r="C4351" s="148" t="s">
        <v>541</v>
      </c>
      <c r="D4351" s="148" t="s">
        <v>66</v>
      </c>
      <c r="E4351" s="148">
        <v>44226.164705880008</v>
      </c>
      <c r="F4351" s="148" t="s">
        <v>37</v>
      </c>
    </row>
    <row r="4352" spans="1:6" ht="15.75">
      <c r="A4352" t="str">
        <f t="shared" si="67"/>
        <v>PompaplesCADECS</v>
      </c>
      <c r="C4352" s="148" t="s">
        <v>541</v>
      </c>
      <c r="D4352" s="148" t="s">
        <v>242</v>
      </c>
      <c r="E4352" s="148">
        <v>500001.60000000003</v>
      </c>
      <c r="F4352" s="148" t="s">
        <v>37</v>
      </c>
    </row>
    <row r="4353" spans="1:6" ht="15.75">
      <c r="A4353" t="str">
        <f t="shared" si="67"/>
        <v>PompaplesElectricitéECS</v>
      </c>
      <c r="C4353" s="148" t="s">
        <v>541</v>
      </c>
      <c r="D4353" s="148" t="s">
        <v>97</v>
      </c>
      <c r="E4353" s="148">
        <v>228907.77777774003</v>
      </c>
      <c r="F4353" s="148" t="s">
        <v>37</v>
      </c>
    </row>
    <row r="4354" spans="1:6" ht="15.75">
      <c r="A4354" t="str">
        <f t="shared" si="67"/>
        <v>PompaplesGazECS</v>
      </c>
      <c r="C4354" s="148" t="s">
        <v>541</v>
      </c>
      <c r="D4354" s="148" t="s">
        <v>239</v>
      </c>
      <c r="E4354" s="148">
        <v>246706.35294119001</v>
      </c>
      <c r="F4354" s="148" t="s">
        <v>37</v>
      </c>
    </row>
    <row r="4355" spans="1:6" ht="15.75">
      <c r="A4355" t="str">
        <f t="shared" si="67"/>
        <v>PompaplesMazoutECS</v>
      </c>
      <c r="C4355" s="148" t="s">
        <v>541</v>
      </c>
      <c r="D4355" s="148" t="s">
        <v>70</v>
      </c>
      <c r="E4355" s="148">
        <v>516431.17647060996</v>
      </c>
      <c r="F4355" s="148" t="s">
        <v>37</v>
      </c>
    </row>
    <row r="4356" spans="1:6" ht="15.75">
      <c r="A4356" t="str">
        <f t="shared" si="67"/>
        <v>PompaplesNon renseignéECS</v>
      </c>
      <c r="C4356" s="148" t="s">
        <v>541</v>
      </c>
      <c r="D4356" s="148" t="s">
        <v>696</v>
      </c>
      <c r="E4356" s="148">
        <v>0</v>
      </c>
      <c r="F4356" s="148" t="s">
        <v>37</v>
      </c>
    </row>
    <row r="4357" spans="1:6" ht="15.75">
      <c r="A4357" t="str">
        <f t="shared" si="67"/>
        <v>PompaplesPACECS</v>
      </c>
      <c r="C4357" s="148" t="s">
        <v>541</v>
      </c>
      <c r="D4357" s="148" t="s">
        <v>69</v>
      </c>
      <c r="E4357" s="148">
        <v>10528.00346835</v>
      </c>
      <c r="F4357" s="148" t="s">
        <v>37</v>
      </c>
    </row>
    <row r="4358" spans="1:6" ht="15.75">
      <c r="A4358" t="str">
        <f t="shared" si="67"/>
        <v>PompaplesSolaireECS</v>
      </c>
      <c r="C4358" s="148" t="s">
        <v>541</v>
      </c>
      <c r="D4358" s="148" t="s">
        <v>240</v>
      </c>
      <c r="E4358" s="148">
        <v>92722.000000000015</v>
      </c>
      <c r="F4358" s="148" t="s">
        <v>37</v>
      </c>
    </row>
    <row r="4359" spans="1:6" ht="15.75">
      <c r="A4359" t="str">
        <f t="shared" si="67"/>
        <v>PomyBoisECS</v>
      </c>
      <c r="C4359" s="148" t="s">
        <v>542</v>
      </c>
      <c r="D4359" s="148" t="s">
        <v>66</v>
      </c>
      <c r="E4359" s="148">
        <v>51394.219607850006</v>
      </c>
      <c r="F4359" s="148" t="s">
        <v>37</v>
      </c>
    </row>
    <row r="4360" spans="1:6" ht="15.75">
      <c r="A4360" t="str">
        <f t="shared" si="67"/>
        <v>PomyCADECS</v>
      </c>
      <c r="C4360" s="148" t="s">
        <v>542</v>
      </c>
      <c r="D4360" s="148" t="s">
        <v>242</v>
      </c>
      <c r="E4360" s="148" t="e">
        <v>#N/A</v>
      </c>
      <c r="F4360" s="148" t="s">
        <v>37</v>
      </c>
    </row>
    <row r="4361" spans="1:6" ht="15.75">
      <c r="A4361" t="str">
        <f t="shared" si="67"/>
        <v>PomyElectricitéECS</v>
      </c>
      <c r="C4361" s="148" t="s">
        <v>542</v>
      </c>
      <c r="D4361" s="148" t="s">
        <v>97</v>
      </c>
      <c r="E4361" s="148">
        <v>198347.64444440993</v>
      </c>
      <c r="F4361" s="148" t="s">
        <v>37</v>
      </c>
    </row>
    <row r="4362" spans="1:6" ht="15.75">
      <c r="A4362" t="str">
        <f t="shared" si="67"/>
        <v>PomyGazECS</v>
      </c>
      <c r="C4362" s="148" t="s">
        <v>542</v>
      </c>
      <c r="D4362" s="148" t="s">
        <v>239</v>
      </c>
      <c r="E4362" s="148">
        <v>227003.39386186996</v>
      </c>
      <c r="F4362" s="148" t="s">
        <v>37</v>
      </c>
    </row>
    <row r="4363" spans="1:6" ht="15.75">
      <c r="A4363" t="str">
        <f t="shared" si="67"/>
        <v>PomyMazoutECS</v>
      </c>
      <c r="C4363" s="148" t="s">
        <v>542</v>
      </c>
      <c r="D4363" s="148" t="s">
        <v>70</v>
      </c>
      <c r="E4363" s="148">
        <v>739482.96470587992</v>
      </c>
      <c r="F4363" s="148" t="s">
        <v>37</v>
      </c>
    </row>
    <row r="4364" spans="1:6" ht="15.75">
      <c r="A4364" t="str">
        <f t="shared" si="67"/>
        <v>PomyNon renseignéECS</v>
      </c>
      <c r="C4364" s="148" t="s">
        <v>542</v>
      </c>
      <c r="D4364" s="148" t="s">
        <v>696</v>
      </c>
      <c r="E4364" s="148">
        <v>0</v>
      </c>
      <c r="F4364" s="148" t="s">
        <v>37</v>
      </c>
    </row>
    <row r="4365" spans="1:6" ht="15.75">
      <c r="A4365" t="str">
        <f t="shared" si="67"/>
        <v>PomyPACECS</v>
      </c>
      <c r="C4365" s="148" t="s">
        <v>542</v>
      </c>
      <c r="D4365" s="148" t="s">
        <v>69</v>
      </c>
      <c r="E4365" s="148">
        <v>9565.5897435999996</v>
      </c>
      <c r="F4365" s="148" t="s">
        <v>37</v>
      </c>
    </row>
    <row r="4366" spans="1:6" ht="15.75">
      <c r="A4366" t="str">
        <f t="shared" si="67"/>
        <v>PomyAutre agent énergétiqueECS</v>
      </c>
      <c r="C4366" s="148" t="s">
        <v>542</v>
      </c>
      <c r="D4366" s="148" t="s">
        <v>245</v>
      </c>
      <c r="E4366" s="148">
        <v>9526.5882352900007</v>
      </c>
      <c r="F4366" s="148" t="s">
        <v>37</v>
      </c>
    </row>
    <row r="4367" spans="1:6" ht="15.75">
      <c r="A4367" t="str">
        <f t="shared" si="67"/>
        <v>PomySolaireECS</v>
      </c>
      <c r="C4367" s="148" t="s">
        <v>542</v>
      </c>
      <c r="D4367" s="148" t="s">
        <v>240</v>
      </c>
      <c r="E4367" s="148">
        <v>111594.70000000001</v>
      </c>
      <c r="F4367" s="148" t="s">
        <v>37</v>
      </c>
    </row>
    <row r="4368" spans="1:6" ht="15.75">
      <c r="A4368" t="str">
        <f t="shared" si="67"/>
        <v>PranginsAutre agent énergétiqueECS</v>
      </c>
      <c r="C4368" s="148" t="s">
        <v>543</v>
      </c>
      <c r="D4368" s="148" t="s">
        <v>245</v>
      </c>
      <c r="E4368" s="148">
        <v>7490.8235294100004</v>
      </c>
      <c r="F4368" s="148" t="s">
        <v>37</v>
      </c>
    </row>
    <row r="4369" spans="1:6" ht="15.75">
      <c r="A4369" t="str">
        <f t="shared" si="67"/>
        <v>PranginsBoisECS</v>
      </c>
      <c r="C4369" s="148" t="s">
        <v>543</v>
      </c>
      <c r="D4369" s="148" t="s">
        <v>66</v>
      </c>
      <c r="E4369" s="148">
        <v>106296.01568627</v>
      </c>
      <c r="F4369" s="148" t="s">
        <v>37</v>
      </c>
    </row>
    <row r="4370" spans="1:6" ht="15.75">
      <c r="A4370" t="str">
        <f t="shared" si="67"/>
        <v>PranginsCADECS</v>
      </c>
      <c r="C4370" s="148" t="s">
        <v>543</v>
      </c>
      <c r="D4370" s="148" t="s">
        <v>242</v>
      </c>
      <c r="E4370" s="148">
        <v>37760.800000000003</v>
      </c>
      <c r="F4370" s="148" t="s">
        <v>37</v>
      </c>
    </row>
    <row r="4371" spans="1:6" ht="15.75">
      <c r="A4371" t="str">
        <f t="shared" ref="A4371:A4434" si="68">_xlfn.CONCAT(C4371,D4371,F4371)</f>
        <v>PranginsElectricitéECS</v>
      </c>
      <c r="C4371" s="148" t="s">
        <v>543</v>
      </c>
      <c r="D4371" s="148" t="s">
        <v>97</v>
      </c>
      <c r="E4371" s="148">
        <v>656295.11111111019</v>
      </c>
      <c r="F4371" s="148" t="s">
        <v>37</v>
      </c>
    </row>
    <row r="4372" spans="1:6" ht="15.75">
      <c r="A4372" t="str">
        <f t="shared" si="68"/>
        <v>PranginsGazECS</v>
      </c>
      <c r="C4372" s="148" t="s">
        <v>543</v>
      </c>
      <c r="D4372" s="148" t="s">
        <v>239</v>
      </c>
      <c r="E4372" s="148">
        <v>2479077.7687979005</v>
      </c>
      <c r="F4372" s="148" t="s">
        <v>37</v>
      </c>
    </row>
    <row r="4373" spans="1:6" ht="15.75">
      <c r="A4373" t="str">
        <f t="shared" si="68"/>
        <v>PranginsMazoutECS</v>
      </c>
      <c r="C4373" s="148" t="s">
        <v>543</v>
      </c>
      <c r="D4373" s="148" t="s">
        <v>70</v>
      </c>
      <c r="E4373" s="148">
        <v>2280416.3529412509</v>
      </c>
      <c r="F4373" s="148" t="s">
        <v>37</v>
      </c>
    </row>
    <row r="4374" spans="1:6" ht="15.75">
      <c r="A4374" t="str">
        <f t="shared" si="68"/>
        <v>PranginsNon renseignéECS</v>
      </c>
      <c r="C4374" s="148" t="s">
        <v>543</v>
      </c>
      <c r="D4374" s="148" t="s">
        <v>696</v>
      </c>
      <c r="E4374" s="148">
        <v>0</v>
      </c>
      <c r="F4374" s="148" t="s">
        <v>37</v>
      </c>
    </row>
    <row r="4375" spans="1:6" ht="15.75">
      <c r="A4375" t="str">
        <f t="shared" si="68"/>
        <v>PranginsPACECS</v>
      </c>
      <c r="C4375" s="148" t="s">
        <v>543</v>
      </c>
      <c r="D4375" s="148" t="s">
        <v>69</v>
      </c>
      <c r="E4375" s="148">
        <v>66569.299393080015</v>
      </c>
      <c r="F4375" s="148" t="s">
        <v>37</v>
      </c>
    </row>
    <row r="4376" spans="1:6" ht="15.75">
      <c r="A4376" t="str">
        <f t="shared" si="68"/>
        <v>PranginsSolaireECS</v>
      </c>
      <c r="C4376" s="148" t="s">
        <v>543</v>
      </c>
      <c r="D4376" s="148" t="s">
        <v>240</v>
      </c>
      <c r="E4376" s="148">
        <v>163380.98823529002</v>
      </c>
      <c r="F4376" s="148" t="s">
        <v>37</v>
      </c>
    </row>
    <row r="4377" spans="1:6" ht="15.75">
      <c r="A4377" t="str">
        <f t="shared" si="68"/>
        <v>PremierBoisECS</v>
      </c>
      <c r="C4377" s="148" t="s">
        <v>544</v>
      </c>
      <c r="D4377" s="148" t="s">
        <v>66</v>
      </c>
      <c r="E4377" s="148">
        <v>92256.859607840015</v>
      </c>
      <c r="F4377" s="148" t="s">
        <v>37</v>
      </c>
    </row>
    <row r="4378" spans="1:6" ht="15.75">
      <c r="A4378" t="str">
        <f t="shared" si="68"/>
        <v>PremierCADECS</v>
      </c>
      <c r="C4378" s="148" t="s">
        <v>544</v>
      </c>
      <c r="D4378" s="148" t="s">
        <v>242</v>
      </c>
      <c r="E4378" s="148">
        <v>3360</v>
      </c>
      <c r="F4378" s="148" t="s">
        <v>37</v>
      </c>
    </row>
    <row r="4379" spans="1:6" ht="15.75">
      <c r="A4379" t="str">
        <f t="shared" si="68"/>
        <v>PremierElectricitéECS</v>
      </c>
      <c r="C4379" s="148" t="s">
        <v>544</v>
      </c>
      <c r="D4379" s="148" t="s">
        <v>97</v>
      </c>
      <c r="E4379" s="148">
        <v>167637.55555557</v>
      </c>
      <c r="F4379" s="148" t="s">
        <v>37</v>
      </c>
    </row>
    <row r="4380" spans="1:6" ht="15.75">
      <c r="A4380" t="str">
        <f t="shared" si="68"/>
        <v>PremierMazoutECS</v>
      </c>
      <c r="C4380" s="148" t="s">
        <v>544</v>
      </c>
      <c r="D4380" s="148" t="s">
        <v>70</v>
      </c>
      <c r="E4380" s="148">
        <v>109129.17647058002</v>
      </c>
      <c r="F4380" s="148" t="s">
        <v>37</v>
      </c>
    </row>
    <row r="4381" spans="1:6" ht="15.75">
      <c r="A4381" t="str">
        <f t="shared" si="68"/>
        <v>PremierNon renseignéECS</v>
      </c>
      <c r="C4381" s="148" t="s">
        <v>544</v>
      </c>
      <c r="D4381" s="148" t="s">
        <v>696</v>
      </c>
      <c r="E4381" s="148">
        <v>0</v>
      </c>
      <c r="F4381" s="148" t="s">
        <v>37</v>
      </c>
    </row>
    <row r="4382" spans="1:6" ht="15.75">
      <c r="A4382" t="str">
        <f t="shared" si="68"/>
        <v>PremierPACECS</v>
      </c>
      <c r="C4382" s="148" t="s">
        <v>544</v>
      </c>
      <c r="D4382" s="148" t="s">
        <v>69</v>
      </c>
      <c r="E4382" s="148">
        <v>1497.3913043499999</v>
      </c>
      <c r="F4382" s="148" t="s">
        <v>37</v>
      </c>
    </row>
    <row r="4383" spans="1:6" ht="15.75">
      <c r="A4383" t="str">
        <f t="shared" si="68"/>
        <v>PremierSolaireECS</v>
      </c>
      <c r="C4383" s="148" t="s">
        <v>544</v>
      </c>
      <c r="D4383" s="148" t="s">
        <v>240</v>
      </c>
      <c r="E4383" s="148">
        <v>30184</v>
      </c>
      <c r="F4383" s="148" t="s">
        <v>37</v>
      </c>
    </row>
    <row r="4384" spans="1:6" ht="15.75">
      <c r="A4384" t="str">
        <f t="shared" si="68"/>
        <v>PréverengesAutre agent énergétiqueECS</v>
      </c>
      <c r="C4384" s="148" t="s">
        <v>623</v>
      </c>
      <c r="D4384" s="148" t="s">
        <v>245</v>
      </c>
      <c r="E4384" s="148">
        <v>16444.235294120001</v>
      </c>
      <c r="F4384" s="148" t="s">
        <v>37</v>
      </c>
    </row>
    <row r="4385" spans="1:6" ht="15.75">
      <c r="A4385" t="str">
        <f t="shared" si="68"/>
        <v>PréverengesBoisECS</v>
      </c>
      <c r="C4385" s="148" t="s">
        <v>623</v>
      </c>
      <c r="D4385" s="148" t="s">
        <v>66</v>
      </c>
      <c r="E4385" s="148">
        <v>46654.149019609999</v>
      </c>
      <c r="F4385" s="148" t="s">
        <v>37</v>
      </c>
    </row>
    <row r="4386" spans="1:6" ht="15.75">
      <c r="A4386" t="str">
        <f t="shared" si="68"/>
        <v>PréverengesCADECS</v>
      </c>
      <c r="C4386" s="148" t="s">
        <v>623</v>
      </c>
      <c r="D4386" s="148" t="s">
        <v>242</v>
      </c>
      <c r="E4386" s="148">
        <v>36545.599999999999</v>
      </c>
      <c r="F4386" s="148" t="s">
        <v>37</v>
      </c>
    </row>
    <row r="4387" spans="1:6" ht="15.75">
      <c r="A4387" t="str">
        <f t="shared" si="68"/>
        <v>PréverengesElectricitéECS</v>
      </c>
      <c r="C4387" s="148" t="s">
        <v>623</v>
      </c>
      <c r="D4387" s="148" t="s">
        <v>97</v>
      </c>
      <c r="E4387" s="148">
        <v>477421.77777777013</v>
      </c>
      <c r="F4387" s="148" t="s">
        <v>37</v>
      </c>
    </row>
    <row r="4388" spans="1:6" ht="15.75">
      <c r="A4388" t="str">
        <f t="shared" si="68"/>
        <v>PréverengesGazECS</v>
      </c>
      <c r="C4388" s="148" t="s">
        <v>623</v>
      </c>
      <c r="D4388" s="148" t="s">
        <v>239</v>
      </c>
      <c r="E4388" s="148">
        <v>3162828.3503835597</v>
      </c>
      <c r="F4388" s="148" t="s">
        <v>37</v>
      </c>
    </row>
    <row r="4389" spans="1:6" ht="15.75">
      <c r="A4389" t="str">
        <f t="shared" si="68"/>
        <v>PréverengesMazoutECS</v>
      </c>
      <c r="C4389" s="148" t="s">
        <v>623</v>
      </c>
      <c r="D4389" s="148" t="s">
        <v>70</v>
      </c>
      <c r="E4389" s="148">
        <v>1850343.4352941201</v>
      </c>
      <c r="F4389" s="148" t="s">
        <v>37</v>
      </c>
    </row>
    <row r="4390" spans="1:6" ht="15.75">
      <c r="A4390" t="str">
        <f t="shared" si="68"/>
        <v>PréverengesNon renseignéECS</v>
      </c>
      <c r="C4390" s="148" t="s">
        <v>623</v>
      </c>
      <c r="D4390" s="148" t="s">
        <v>696</v>
      </c>
      <c r="E4390" s="148">
        <v>0</v>
      </c>
      <c r="F4390" s="148" t="s">
        <v>37</v>
      </c>
    </row>
    <row r="4391" spans="1:6" ht="15.75">
      <c r="A4391" t="str">
        <f t="shared" si="68"/>
        <v>PréverengesPACECS</v>
      </c>
      <c r="C4391" s="148" t="s">
        <v>623</v>
      </c>
      <c r="D4391" s="148" t="s">
        <v>69</v>
      </c>
      <c r="E4391" s="148">
        <v>67685.944630260012</v>
      </c>
      <c r="F4391" s="148" t="s">
        <v>37</v>
      </c>
    </row>
    <row r="4392" spans="1:6" ht="15.75">
      <c r="A4392" t="str">
        <f t="shared" si="68"/>
        <v>PréverengesSolaireECS</v>
      </c>
      <c r="C4392" s="148" t="s">
        <v>623</v>
      </c>
      <c r="D4392" s="148" t="s">
        <v>240</v>
      </c>
      <c r="E4392" s="148">
        <v>277726.40000000002</v>
      </c>
      <c r="F4392" s="148" t="s">
        <v>37</v>
      </c>
    </row>
    <row r="4393" spans="1:6" ht="15.75">
      <c r="A4393" t="str">
        <f t="shared" si="68"/>
        <v>PrévonloupBoisECS</v>
      </c>
      <c r="C4393" s="148" t="s">
        <v>622</v>
      </c>
      <c r="D4393" s="148" t="s">
        <v>66</v>
      </c>
      <c r="E4393" s="148">
        <v>60998.713725490001</v>
      </c>
      <c r="F4393" s="148" t="s">
        <v>37</v>
      </c>
    </row>
    <row r="4394" spans="1:6" ht="15.75">
      <c r="A4394" t="str">
        <f t="shared" si="68"/>
        <v>PrévonloupElectricitéECS</v>
      </c>
      <c r="C4394" s="148" t="s">
        <v>622</v>
      </c>
      <c r="D4394" s="148" t="s">
        <v>97</v>
      </c>
      <c r="E4394" s="148">
        <v>59549.777777779993</v>
      </c>
      <c r="F4394" s="148" t="s">
        <v>37</v>
      </c>
    </row>
    <row r="4395" spans="1:6" ht="15.75">
      <c r="A4395" t="str">
        <f t="shared" si="68"/>
        <v>PrévonloupGazECS</v>
      </c>
      <c r="C4395" s="148" t="s">
        <v>622</v>
      </c>
      <c r="D4395" s="148" t="s">
        <v>239</v>
      </c>
      <c r="E4395" s="148">
        <v>30950.061381069998</v>
      </c>
      <c r="F4395" s="148" t="s">
        <v>37</v>
      </c>
    </row>
    <row r="4396" spans="1:6" ht="15.75">
      <c r="A4396" t="str">
        <f t="shared" si="68"/>
        <v>PrévonloupMazoutECS</v>
      </c>
      <c r="C4396" s="148" t="s">
        <v>622</v>
      </c>
      <c r="D4396" s="148" t="s">
        <v>70</v>
      </c>
      <c r="E4396" s="148">
        <v>180397.41176471999</v>
      </c>
      <c r="F4396" s="148" t="s">
        <v>37</v>
      </c>
    </row>
    <row r="4397" spans="1:6" ht="15.75">
      <c r="A4397" t="str">
        <f t="shared" si="68"/>
        <v>PrévonloupNon renseignéECS</v>
      </c>
      <c r="C4397" s="148" t="s">
        <v>622</v>
      </c>
      <c r="D4397" s="148" t="s">
        <v>696</v>
      </c>
      <c r="E4397" s="148">
        <v>0</v>
      </c>
      <c r="F4397" s="148" t="s">
        <v>37</v>
      </c>
    </row>
    <row r="4398" spans="1:6" ht="15.75">
      <c r="A4398" t="str">
        <f t="shared" si="68"/>
        <v>PrévonloupPACECS</v>
      </c>
      <c r="C4398" s="148" t="s">
        <v>622</v>
      </c>
      <c r="D4398" s="148" t="s">
        <v>69</v>
      </c>
      <c r="E4398" s="148">
        <v>896</v>
      </c>
      <c r="F4398" s="148" t="s">
        <v>37</v>
      </c>
    </row>
    <row r="4399" spans="1:6" ht="15.75">
      <c r="A4399" t="str">
        <f t="shared" si="68"/>
        <v>PrévonloupSolaireECS</v>
      </c>
      <c r="C4399" s="148" t="s">
        <v>622</v>
      </c>
      <c r="D4399" s="148" t="s">
        <v>240</v>
      </c>
      <c r="E4399" s="148">
        <v>65546.600000000006</v>
      </c>
      <c r="F4399" s="148" t="s">
        <v>37</v>
      </c>
    </row>
    <row r="4400" spans="1:6" ht="15.75">
      <c r="A4400" t="str">
        <f t="shared" si="68"/>
        <v>PrillyAutre agent énergétiqueECS</v>
      </c>
      <c r="C4400" s="148" t="s">
        <v>545</v>
      </c>
      <c r="D4400" s="148" t="s">
        <v>245</v>
      </c>
      <c r="E4400" s="148">
        <v>118255.52941176998</v>
      </c>
      <c r="F4400" s="148" t="s">
        <v>37</v>
      </c>
    </row>
    <row r="4401" spans="1:6" ht="15.75">
      <c r="A4401" t="str">
        <f t="shared" si="68"/>
        <v>PrillyBoisECS</v>
      </c>
      <c r="C4401" s="148" t="s">
        <v>545</v>
      </c>
      <c r="D4401" s="148" t="s">
        <v>66</v>
      </c>
      <c r="E4401" s="148">
        <v>438795.24705884</v>
      </c>
      <c r="F4401" s="148" t="s">
        <v>37</v>
      </c>
    </row>
    <row r="4402" spans="1:6" ht="15.75">
      <c r="A4402" t="str">
        <f t="shared" si="68"/>
        <v>PrillyCADECS</v>
      </c>
      <c r="C4402" s="148" t="s">
        <v>545</v>
      </c>
      <c r="D4402" s="148" t="s">
        <v>242</v>
      </c>
      <c r="E4402" s="148">
        <v>737982</v>
      </c>
      <c r="F4402" s="148" t="s">
        <v>37</v>
      </c>
    </row>
    <row r="4403" spans="1:6" ht="15.75">
      <c r="A4403" t="str">
        <f t="shared" si="68"/>
        <v>PrillyElectricitéECS</v>
      </c>
      <c r="C4403" s="148" t="s">
        <v>545</v>
      </c>
      <c r="D4403" s="148" t="s">
        <v>97</v>
      </c>
      <c r="E4403" s="148">
        <v>567721.1555555301</v>
      </c>
      <c r="F4403" s="148" t="s">
        <v>37</v>
      </c>
    </row>
    <row r="4404" spans="1:6" ht="15.75">
      <c r="A4404" t="str">
        <f t="shared" si="68"/>
        <v>PrillyGazECS</v>
      </c>
      <c r="C4404" s="148" t="s">
        <v>545</v>
      </c>
      <c r="D4404" s="148" t="s">
        <v>239</v>
      </c>
      <c r="E4404" s="148">
        <v>3693165.9327366101</v>
      </c>
      <c r="F4404" s="148" t="s">
        <v>37</v>
      </c>
    </row>
    <row r="4405" spans="1:6" ht="15.75">
      <c r="A4405" t="str">
        <f t="shared" si="68"/>
        <v>PrillyMazoutECS</v>
      </c>
      <c r="C4405" s="148" t="s">
        <v>545</v>
      </c>
      <c r="D4405" s="148" t="s">
        <v>70</v>
      </c>
      <c r="E4405" s="148">
        <v>8961265.3941175509</v>
      </c>
      <c r="F4405" s="148" t="s">
        <v>37</v>
      </c>
    </row>
    <row r="4406" spans="1:6" ht="15.75">
      <c r="A4406" t="str">
        <f t="shared" si="68"/>
        <v>PrillyNon renseignéECS</v>
      </c>
      <c r="C4406" s="148" t="s">
        <v>545</v>
      </c>
      <c r="D4406" s="148" t="s">
        <v>696</v>
      </c>
      <c r="E4406" s="148">
        <v>0</v>
      </c>
      <c r="F4406" s="148" t="s">
        <v>37</v>
      </c>
    </row>
    <row r="4407" spans="1:6" ht="15.75">
      <c r="A4407" t="str">
        <f t="shared" si="68"/>
        <v>PrillyPACECS</v>
      </c>
      <c r="C4407" s="148" t="s">
        <v>545</v>
      </c>
      <c r="D4407" s="148" t="s">
        <v>69</v>
      </c>
      <c r="E4407" s="148">
        <v>42095.100458330002</v>
      </c>
      <c r="F4407" s="148" t="s">
        <v>37</v>
      </c>
    </row>
    <row r="4408" spans="1:6" ht="15.75">
      <c r="A4408" t="str">
        <f t="shared" si="68"/>
        <v>PrillySolaireECS</v>
      </c>
      <c r="C4408" s="148" t="s">
        <v>545</v>
      </c>
      <c r="D4408" s="148" t="s">
        <v>240</v>
      </c>
      <c r="E4408" s="148">
        <v>456458.8</v>
      </c>
      <c r="F4408" s="148" t="s">
        <v>37</v>
      </c>
    </row>
    <row r="4409" spans="1:6" ht="15.75">
      <c r="A4409" t="str">
        <f t="shared" si="68"/>
        <v>PrillyCharbonECS</v>
      </c>
      <c r="C4409" s="148" t="s">
        <v>545</v>
      </c>
      <c r="D4409" s="148" t="s">
        <v>695</v>
      </c>
      <c r="E4409" s="148" t="e">
        <v>#N/A</v>
      </c>
      <c r="F4409" s="148" t="s">
        <v>37</v>
      </c>
    </row>
    <row r="4410" spans="1:6" ht="15.75">
      <c r="A4410" t="str">
        <f t="shared" si="68"/>
        <v>ProvenceBoisECS</v>
      </c>
      <c r="C4410" s="148" t="s">
        <v>546</v>
      </c>
      <c r="D4410" s="148" t="s">
        <v>66</v>
      </c>
      <c r="E4410" s="148">
        <v>311164.46117646998</v>
      </c>
      <c r="F4410" s="148" t="s">
        <v>37</v>
      </c>
    </row>
    <row r="4411" spans="1:6" ht="15.75">
      <c r="A4411" t="str">
        <f t="shared" si="68"/>
        <v>ProvenceCADECS</v>
      </c>
      <c r="C4411" s="148" t="s">
        <v>546</v>
      </c>
      <c r="D4411" s="148" t="s">
        <v>242</v>
      </c>
      <c r="E4411" s="148" t="e">
        <v>#N/A</v>
      </c>
      <c r="F4411" s="148" t="s">
        <v>37</v>
      </c>
    </row>
    <row r="4412" spans="1:6" ht="15.75">
      <c r="A4412" t="str">
        <f t="shared" si="68"/>
        <v>ProvenceElectricitéECS</v>
      </c>
      <c r="C4412" s="148" t="s">
        <v>546</v>
      </c>
      <c r="D4412" s="148" t="s">
        <v>97</v>
      </c>
      <c r="E4412" s="148">
        <v>321191.11111109005</v>
      </c>
      <c r="F4412" s="148" t="s">
        <v>37</v>
      </c>
    </row>
    <row r="4413" spans="1:6" ht="15.75">
      <c r="A4413" t="str">
        <f t="shared" si="68"/>
        <v>ProvenceGazECS</v>
      </c>
      <c r="C4413" s="148" t="s">
        <v>546</v>
      </c>
      <c r="D4413" s="148" t="s">
        <v>239</v>
      </c>
      <c r="E4413" s="148">
        <v>21477.647058820003</v>
      </c>
      <c r="F4413" s="148" t="s">
        <v>37</v>
      </c>
    </row>
    <row r="4414" spans="1:6" ht="15.75">
      <c r="A4414" t="str">
        <f t="shared" si="68"/>
        <v>ProvenceMazoutECS</v>
      </c>
      <c r="C4414" s="148" t="s">
        <v>546</v>
      </c>
      <c r="D4414" s="148" t="s">
        <v>70</v>
      </c>
      <c r="E4414" s="148">
        <v>248542.82352940005</v>
      </c>
      <c r="F4414" s="148" t="s">
        <v>37</v>
      </c>
    </row>
    <row r="4415" spans="1:6" ht="15.75">
      <c r="A4415" t="str">
        <f t="shared" si="68"/>
        <v>ProvenceNon renseignéECS</v>
      </c>
      <c r="C4415" s="148" t="s">
        <v>546</v>
      </c>
      <c r="D4415" s="148" t="s">
        <v>696</v>
      </c>
      <c r="E4415" s="148">
        <v>0</v>
      </c>
      <c r="F4415" s="148" t="s">
        <v>37</v>
      </c>
    </row>
    <row r="4416" spans="1:6" ht="15.75">
      <c r="A4416" t="str">
        <f t="shared" si="68"/>
        <v>ProvencePACECS</v>
      </c>
      <c r="C4416" s="148" t="s">
        <v>546</v>
      </c>
      <c r="D4416" s="148" t="s">
        <v>69</v>
      </c>
      <c r="E4416" s="148">
        <v>11772.173913050001</v>
      </c>
      <c r="F4416" s="148" t="s">
        <v>37</v>
      </c>
    </row>
    <row r="4417" spans="1:6" ht="15.75">
      <c r="A4417" t="str">
        <f t="shared" si="68"/>
        <v>ProvenceSolaireECS</v>
      </c>
      <c r="C4417" s="148" t="s">
        <v>546</v>
      </c>
      <c r="D4417" s="148" t="s">
        <v>240</v>
      </c>
      <c r="E4417" s="148">
        <v>25614.399999999998</v>
      </c>
      <c r="F4417" s="148" t="s">
        <v>37</v>
      </c>
    </row>
    <row r="4418" spans="1:6" ht="15.75">
      <c r="A4418" t="str">
        <f t="shared" si="68"/>
        <v>PuidouxAutre agent énergétiqueECS</v>
      </c>
      <c r="C4418" s="148" t="s">
        <v>547</v>
      </c>
      <c r="D4418" s="148" t="s">
        <v>245</v>
      </c>
      <c r="E4418" s="148">
        <v>7642.3529411700001</v>
      </c>
      <c r="F4418" s="148" t="s">
        <v>37</v>
      </c>
    </row>
    <row r="4419" spans="1:6" ht="15.75">
      <c r="A4419" t="str">
        <f t="shared" si="68"/>
        <v>PuidouxBoisECS</v>
      </c>
      <c r="C4419" s="148" t="s">
        <v>547</v>
      </c>
      <c r="D4419" s="148" t="s">
        <v>66</v>
      </c>
      <c r="E4419" s="148">
        <v>730137.44313725003</v>
      </c>
      <c r="F4419" s="148" t="s">
        <v>37</v>
      </c>
    </row>
    <row r="4420" spans="1:6" ht="15.75">
      <c r="A4420" t="str">
        <f t="shared" si="68"/>
        <v>PuidouxCADECS</v>
      </c>
      <c r="C4420" s="148" t="s">
        <v>547</v>
      </c>
      <c r="D4420" s="148" t="s">
        <v>242</v>
      </c>
      <c r="E4420" s="148">
        <v>304334.8</v>
      </c>
      <c r="F4420" s="148" t="s">
        <v>37</v>
      </c>
    </row>
    <row r="4421" spans="1:6" ht="15.75">
      <c r="A4421" t="str">
        <f t="shared" si="68"/>
        <v>PuidouxElectricitéECS</v>
      </c>
      <c r="C4421" s="148" t="s">
        <v>547</v>
      </c>
      <c r="D4421" s="148" t="s">
        <v>97</v>
      </c>
      <c r="E4421" s="148">
        <v>873367.28888889006</v>
      </c>
      <c r="F4421" s="148" t="s">
        <v>37</v>
      </c>
    </row>
    <row r="4422" spans="1:6" ht="15.75">
      <c r="A4422" t="str">
        <f t="shared" si="68"/>
        <v>PuidouxGazECS</v>
      </c>
      <c r="C4422" s="148" t="s">
        <v>547</v>
      </c>
      <c r="D4422" s="148" t="s">
        <v>239</v>
      </c>
      <c r="E4422" s="148">
        <v>1478154.0404092302</v>
      </c>
      <c r="F4422" s="148" t="s">
        <v>37</v>
      </c>
    </row>
    <row r="4423" spans="1:6" ht="15.75">
      <c r="A4423" t="str">
        <f t="shared" si="68"/>
        <v>PuidouxMazoutECS</v>
      </c>
      <c r="C4423" s="148" t="s">
        <v>547</v>
      </c>
      <c r="D4423" s="148" t="s">
        <v>70</v>
      </c>
      <c r="E4423" s="148">
        <v>1465508.1411764398</v>
      </c>
      <c r="F4423" s="148" t="s">
        <v>37</v>
      </c>
    </row>
    <row r="4424" spans="1:6" ht="15.75">
      <c r="A4424" t="str">
        <f t="shared" si="68"/>
        <v>PuidouxNon renseignéECS</v>
      </c>
      <c r="C4424" s="148" t="s">
        <v>547</v>
      </c>
      <c r="D4424" s="148" t="s">
        <v>696</v>
      </c>
      <c r="E4424" s="148">
        <v>0</v>
      </c>
      <c r="F4424" s="148" t="s">
        <v>37</v>
      </c>
    </row>
    <row r="4425" spans="1:6" ht="15.75">
      <c r="A4425" t="str">
        <f t="shared" si="68"/>
        <v>PuidouxPACECS</v>
      </c>
      <c r="C4425" s="148" t="s">
        <v>547</v>
      </c>
      <c r="D4425" s="148" t="s">
        <v>69</v>
      </c>
      <c r="E4425" s="148">
        <v>37222.914901530006</v>
      </c>
      <c r="F4425" s="148" t="s">
        <v>37</v>
      </c>
    </row>
    <row r="4426" spans="1:6" ht="15.75">
      <c r="A4426" t="str">
        <f t="shared" si="68"/>
        <v>PuidouxSolaireECS</v>
      </c>
      <c r="C4426" s="148" t="s">
        <v>547</v>
      </c>
      <c r="D4426" s="148" t="s">
        <v>240</v>
      </c>
      <c r="E4426" s="148">
        <v>373883.44000000012</v>
      </c>
      <c r="F4426" s="148" t="s">
        <v>37</v>
      </c>
    </row>
    <row r="4427" spans="1:6" ht="15.75">
      <c r="A4427" t="str">
        <f t="shared" si="68"/>
        <v>PullyAutre agent énergétiqueECS</v>
      </c>
      <c r="C4427" s="148" t="s">
        <v>548</v>
      </c>
      <c r="D4427" s="148" t="s">
        <v>245</v>
      </c>
      <c r="E4427" s="148">
        <v>53068.235294109996</v>
      </c>
      <c r="F4427" s="148" t="s">
        <v>37</v>
      </c>
    </row>
    <row r="4428" spans="1:6" ht="15.75">
      <c r="A4428" t="str">
        <f t="shared" si="68"/>
        <v>PullyBoisECS</v>
      </c>
      <c r="C4428" s="148" t="s">
        <v>548</v>
      </c>
      <c r="D4428" s="148" t="s">
        <v>66</v>
      </c>
      <c r="E4428" s="148">
        <v>352438.74509803992</v>
      </c>
      <c r="F4428" s="148" t="s">
        <v>37</v>
      </c>
    </row>
    <row r="4429" spans="1:6" ht="15.75">
      <c r="A4429" t="str">
        <f t="shared" si="68"/>
        <v>PullyCADECS</v>
      </c>
      <c r="C4429" s="148" t="s">
        <v>548</v>
      </c>
      <c r="D4429" s="148" t="s">
        <v>242</v>
      </c>
      <c r="E4429" s="148">
        <v>85575</v>
      </c>
      <c r="F4429" s="148" t="s">
        <v>37</v>
      </c>
    </row>
    <row r="4430" spans="1:6" ht="15.75">
      <c r="A4430" t="str">
        <f t="shared" si="68"/>
        <v>PullyElectricitéECS</v>
      </c>
      <c r="C4430" s="148" t="s">
        <v>548</v>
      </c>
      <c r="D4430" s="148" t="s">
        <v>97</v>
      </c>
      <c r="E4430" s="148">
        <v>1019027.3333333303</v>
      </c>
      <c r="F4430" s="148" t="s">
        <v>37</v>
      </c>
    </row>
    <row r="4431" spans="1:6" ht="15.75">
      <c r="A4431" t="str">
        <f t="shared" si="68"/>
        <v>PullyGazECS</v>
      </c>
      <c r="C4431" s="148" t="s">
        <v>548</v>
      </c>
      <c r="D4431" s="148" t="s">
        <v>239</v>
      </c>
      <c r="E4431" s="148">
        <v>12609719.922705423</v>
      </c>
      <c r="F4431" s="148" t="s">
        <v>37</v>
      </c>
    </row>
    <row r="4432" spans="1:6" ht="15.75">
      <c r="A4432" t="str">
        <f t="shared" si="68"/>
        <v>PullyMazoutECS</v>
      </c>
      <c r="C4432" s="148" t="s">
        <v>548</v>
      </c>
      <c r="D4432" s="148" t="s">
        <v>70</v>
      </c>
      <c r="E4432" s="148">
        <v>13063843.150326792</v>
      </c>
      <c r="F4432" s="148" t="s">
        <v>37</v>
      </c>
    </row>
    <row r="4433" spans="1:6" ht="15.75">
      <c r="A4433" t="str">
        <f t="shared" si="68"/>
        <v>PullyNon renseignéECS</v>
      </c>
      <c r="C4433" s="148" t="s">
        <v>548</v>
      </c>
      <c r="D4433" s="148" t="s">
        <v>696</v>
      </c>
      <c r="E4433" s="148">
        <v>0</v>
      </c>
      <c r="F4433" s="148" t="s">
        <v>37</v>
      </c>
    </row>
    <row r="4434" spans="1:6" ht="15.75">
      <c r="A4434" t="str">
        <f t="shared" si="68"/>
        <v>PullyPACECS</v>
      </c>
      <c r="C4434" s="148" t="s">
        <v>548</v>
      </c>
      <c r="D4434" s="148" t="s">
        <v>69</v>
      </c>
      <c r="E4434" s="148">
        <v>276126.16332220007</v>
      </c>
      <c r="F4434" s="148" t="s">
        <v>37</v>
      </c>
    </row>
    <row r="4435" spans="1:6" ht="15.75">
      <c r="A4435" t="str">
        <f t="shared" ref="A4435:A4498" si="69">_xlfn.CONCAT(C4435,D4435,F4435)</f>
        <v>PullySolaireECS</v>
      </c>
      <c r="C4435" s="148" t="s">
        <v>548</v>
      </c>
      <c r="D4435" s="148" t="s">
        <v>240</v>
      </c>
      <c r="E4435" s="148">
        <v>675013.89999999991</v>
      </c>
      <c r="F4435" s="148" t="s">
        <v>37</v>
      </c>
    </row>
    <row r="4436" spans="1:6" ht="15.75">
      <c r="A4436" t="str">
        <f t="shared" si="69"/>
        <v>RancesAutre agent énergétiqueECS</v>
      </c>
      <c r="C4436" s="148" t="s">
        <v>549</v>
      </c>
      <c r="D4436" s="148" t="s">
        <v>245</v>
      </c>
      <c r="E4436" s="148">
        <v>6586.9176470599996</v>
      </c>
      <c r="F4436" s="148" t="s">
        <v>37</v>
      </c>
    </row>
    <row r="4437" spans="1:6" ht="15.75">
      <c r="A4437" t="str">
        <f t="shared" si="69"/>
        <v>RancesBoisECS</v>
      </c>
      <c r="C4437" s="148" t="s">
        <v>549</v>
      </c>
      <c r="D4437" s="148" t="s">
        <v>66</v>
      </c>
      <c r="E4437" s="148">
        <v>156539.21568625999</v>
      </c>
      <c r="F4437" s="148" t="s">
        <v>37</v>
      </c>
    </row>
    <row r="4438" spans="1:6" ht="15.75">
      <c r="A4438" t="str">
        <f t="shared" si="69"/>
        <v>RancesElectricitéECS</v>
      </c>
      <c r="C4438" s="148" t="s">
        <v>549</v>
      </c>
      <c r="D4438" s="148" t="s">
        <v>97</v>
      </c>
      <c r="E4438" s="148">
        <v>189454.22222225001</v>
      </c>
      <c r="F4438" s="148" t="s">
        <v>37</v>
      </c>
    </row>
    <row r="4439" spans="1:6" ht="15.75">
      <c r="A4439" t="str">
        <f t="shared" si="69"/>
        <v>RancesGazECS</v>
      </c>
      <c r="C4439" s="148" t="s">
        <v>549</v>
      </c>
      <c r="D4439" s="148" t="s">
        <v>239</v>
      </c>
      <c r="E4439" s="148">
        <v>10304</v>
      </c>
      <c r="F4439" s="148" t="s">
        <v>37</v>
      </c>
    </row>
    <row r="4440" spans="1:6" ht="15.75">
      <c r="A4440" t="str">
        <f t="shared" si="69"/>
        <v>RancesMazoutECS</v>
      </c>
      <c r="C4440" s="148" t="s">
        <v>549</v>
      </c>
      <c r="D4440" s="148" t="s">
        <v>70</v>
      </c>
      <c r="E4440" s="148">
        <v>464974.91764707002</v>
      </c>
      <c r="F4440" s="148" t="s">
        <v>37</v>
      </c>
    </row>
    <row r="4441" spans="1:6" ht="15.75">
      <c r="A4441" t="str">
        <f t="shared" si="69"/>
        <v>RancesNon renseignéECS</v>
      </c>
      <c r="C4441" s="148" t="s">
        <v>549</v>
      </c>
      <c r="D4441" s="148" t="s">
        <v>696</v>
      </c>
      <c r="E4441" s="148">
        <v>0</v>
      </c>
      <c r="F4441" s="148" t="s">
        <v>37</v>
      </c>
    </row>
    <row r="4442" spans="1:6" ht="15.75">
      <c r="A4442" t="str">
        <f t="shared" si="69"/>
        <v>RancesPACECS</v>
      </c>
      <c r="C4442" s="148" t="s">
        <v>549</v>
      </c>
      <c r="D4442" s="148" t="s">
        <v>69</v>
      </c>
      <c r="E4442" s="148">
        <v>9496.5652173800008</v>
      </c>
      <c r="F4442" s="148" t="s">
        <v>37</v>
      </c>
    </row>
    <row r="4443" spans="1:6" ht="15.75">
      <c r="A4443" t="str">
        <f t="shared" si="69"/>
        <v>RancesSolaireECS</v>
      </c>
      <c r="C4443" s="148" t="s">
        <v>549</v>
      </c>
      <c r="D4443" s="148" t="s">
        <v>240</v>
      </c>
      <c r="E4443" s="148">
        <v>85685.6</v>
      </c>
      <c r="F4443" s="148" t="s">
        <v>37</v>
      </c>
    </row>
    <row r="4444" spans="1:6" ht="15.75">
      <c r="A4444" t="str">
        <f t="shared" si="69"/>
        <v>Renens (VD)Autre agent énergétiqueECS</v>
      </c>
      <c r="C4444" s="148" t="s">
        <v>690</v>
      </c>
      <c r="D4444" s="148" t="s">
        <v>245</v>
      </c>
      <c r="E4444" s="148">
        <v>102242.82352941</v>
      </c>
      <c r="F4444" s="148" t="s">
        <v>37</v>
      </c>
    </row>
    <row r="4445" spans="1:6" ht="15.75">
      <c r="A4445" t="str">
        <f t="shared" si="69"/>
        <v>Renens (VD)BoisECS</v>
      </c>
      <c r="C4445" s="148" t="s">
        <v>690</v>
      </c>
      <c r="D4445" s="148" t="s">
        <v>66</v>
      </c>
      <c r="E4445" s="148">
        <v>222984.31372549001</v>
      </c>
      <c r="F4445" s="148" t="s">
        <v>37</v>
      </c>
    </row>
    <row r="4446" spans="1:6" ht="15.75">
      <c r="A4446" t="str">
        <f t="shared" si="69"/>
        <v>Renens (VD)CADECS</v>
      </c>
      <c r="C4446" s="148" t="s">
        <v>690</v>
      </c>
      <c r="D4446" s="148" t="s">
        <v>242</v>
      </c>
      <c r="E4446" s="148">
        <v>1110631</v>
      </c>
      <c r="F4446" s="148" t="s">
        <v>37</v>
      </c>
    </row>
    <row r="4447" spans="1:6" ht="15.75">
      <c r="A4447" t="str">
        <f t="shared" si="69"/>
        <v>Renens (VD)ElectricitéECS</v>
      </c>
      <c r="C4447" s="148" t="s">
        <v>690</v>
      </c>
      <c r="D4447" s="148" t="s">
        <v>97</v>
      </c>
      <c r="E4447" s="148">
        <v>1539253.95555566</v>
      </c>
      <c r="F4447" s="148" t="s">
        <v>37</v>
      </c>
    </row>
    <row r="4448" spans="1:6" ht="15.75">
      <c r="A4448" t="str">
        <f t="shared" si="69"/>
        <v>Renens (VD)GazECS</v>
      </c>
      <c r="C4448" s="148" t="s">
        <v>690</v>
      </c>
      <c r="D4448" s="148" t="s">
        <v>239</v>
      </c>
      <c r="E4448" s="148">
        <v>9152088.5040549953</v>
      </c>
      <c r="F4448" s="148" t="s">
        <v>37</v>
      </c>
    </row>
    <row r="4449" spans="1:6" ht="15.75">
      <c r="A4449" t="str">
        <f t="shared" si="69"/>
        <v>Renens (VD)MazoutECS</v>
      </c>
      <c r="C4449" s="148" t="s">
        <v>690</v>
      </c>
      <c r="D4449" s="148" t="s">
        <v>70</v>
      </c>
      <c r="E4449" s="148">
        <v>11206764.447058855</v>
      </c>
      <c r="F4449" s="148" t="s">
        <v>37</v>
      </c>
    </row>
    <row r="4450" spans="1:6" ht="15.75">
      <c r="A4450" t="str">
        <f t="shared" si="69"/>
        <v>Renens (VD)Non renseignéECS</v>
      </c>
      <c r="C4450" s="148" t="s">
        <v>690</v>
      </c>
      <c r="D4450" s="148" t="s">
        <v>696</v>
      </c>
      <c r="E4450" s="148">
        <v>0</v>
      </c>
      <c r="F4450" s="148" t="s">
        <v>37</v>
      </c>
    </row>
    <row r="4451" spans="1:6" ht="15.75">
      <c r="A4451" t="str">
        <f t="shared" si="69"/>
        <v>Renens (VD)PACECS</v>
      </c>
      <c r="C4451" s="148" t="s">
        <v>690</v>
      </c>
      <c r="D4451" s="148" t="s">
        <v>69</v>
      </c>
      <c r="E4451" s="148">
        <v>113762.67855813997</v>
      </c>
      <c r="F4451" s="148" t="s">
        <v>37</v>
      </c>
    </row>
    <row r="4452" spans="1:6" ht="15.75">
      <c r="A4452" t="str">
        <f t="shared" si="69"/>
        <v>Renens (VD)CharbonECS</v>
      </c>
      <c r="C4452" s="148" t="s">
        <v>690</v>
      </c>
      <c r="D4452" s="148" t="s">
        <v>695</v>
      </c>
      <c r="E4452" s="148" t="e">
        <v>#N/A</v>
      </c>
      <c r="F4452" s="148" t="s">
        <v>37</v>
      </c>
    </row>
    <row r="4453" spans="1:6" ht="15.75">
      <c r="A4453" t="str">
        <f t="shared" si="69"/>
        <v>Renens (VD)SolaireECS</v>
      </c>
      <c r="C4453" s="148" t="s">
        <v>690</v>
      </c>
      <c r="D4453" s="148" t="s">
        <v>240</v>
      </c>
      <c r="E4453" s="148">
        <v>629317.22</v>
      </c>
      <c r="F4453" s="148" t="s">
        <v>37</v>
      </c>
    </row>
    <row r="4454" spans="1:6" ht="15.75">
      <c r="A4454" t="str">
        <f t="shared" si="69"/>
        <v>RennazBoisECS</v>
      </c>
      <c r="C4454" s="148" t="s">
        <v>550</v>
      </c>
      <c r="D4454" s="148" t="s">
        <v>66</v>
      </c>
      <c r="E4454" s="148">
        <v>86149.411764710007</v>
      </c>
      <c r="F4454" s="148" t="s">
        <v>37</v>
      </c>
    </row>
    <row r="4455" spans="1:6" ht="15.75">
      <c r="A4455" t="str">
        <f t="shared" si="69"/>
        <v>RennazCADECS</v>
      </c>
      <c r="C4455" s="148" t="s">
        <v>550</v>
      </c>
      <c r="D4455" s="148" t="s">
        <v>242</v>
      </c>
      <c r="E4455" s="148">
        <v>156431.52000000002</v>
      </c>
      <c r="F4455" s="148" t="s">
        <v>37</v>
      </c>
    </row>
    <row r="4456" spans="1:6" ht="15.75">
      <c r="A4456" t="str">
        <f t="shared" si="69"/>
        <v>RennazElectricitéECS</v>
      </c>
      <c r="C4456" s="148" t="s">
        <v>550</v>
      </c>
      <c r="D4456" s="148" t="s">
        <v>97</v>
      </c>
      <c r="E4456" s="148">
        <v>125268.88888890001</v>
      </c>
      <c r="F4456" s="148" t="s">
        <v>37</v>
      </c>
    </row>
    <row r="4457" spans="1:6" ht="15.75">
      <c r="A4457" t="str">
        <f t="shared" si="69"/>
        <v>RennazGazECS</v>
      </c>
      <c r="C4457" s="148" t="s">
        <v>550</v>
      </c>
      <c r="D4457" s="148" t="s">
        <v>239</v>
      </c>
      <c r="E4457" s="148">
        <v>666508.63427108026</v>
      </c>
      <c r="F4457" s="148" t="s">
        <v>37</v>
      </c>
    </row>
    <row r="4458" spans="1:6" ht="15.75">
      <c r="A4458" t="str">
        <f t="shared" si="69"/>
        <v>RennazMazoutECS</v>
      </c>
      <c r="C4458" s="148" t="s">
        <v>550</v>
      </c>
      <c r="D4458" s="148" t="s">
        <v>70</v>
      </c>
      <c r="E4458" s="148">
        <v>245282.02887700999</v>
      </c>
      <c r="F4458" s="148" t="s">
        <v>37</v>
      </c>
    </row>
    <row r="4459" spans="1:6" ht="15.75">
      <c r="A4459" t="str">
        <f t="shared" si="69"/>
        <v>RennazNon renseignéECS</v>
      </c>
      <c r="C4459" s="148" t="s">
        <v>550</v>
      </c>
      <c r="D4459" s="148" t="s">
        <v>696</v>
      </c>
      <c r="E4459" s="148">
        <v>0</v>
      </c>
      <c r="F4459" s="148" t="s">
        <v>37</v>
      </c>
    </row>
    <row r="4460" spans="1:6" ht="15.75">
      <c r="A4460" t="str">
        <f t="shared" si="69"/>
        <v>RennazPACECS</v>
      </c>
      <c r="C4460" s="148" t="s">
        <v>550</v>
      </c>
      <c r="D4460" s="148" t="s">
        <v>69</v>
      </c>
      <c r="E4460" s="148">
        <v>4208.6153846199995</v>
      </c>
      <c r="F4460" s="148" t="s">
        <v>37</v>
      </c>
    </row>
    <row r="4461" spans="1:6" ht="15.75">
      <c r="A4461" t="str">
        <f t="shared" si="69"/>
        <v>RennazSolaireECS</v>
      </c>
      <c r="C4461" s="148" t="s">
        <v>550</v>
      </c>
      <c r="D4461" s="148" t="s">
        <v>240</v>
      </c>
      <c r="E4461" s="148">
        <v>88869.900000000009</v>
      </c>
      <c r="F4461" s="148" t="s">
        <v>37</v>
      </c>
    </row>
    <row r="4462" spans="1:6" ht="15.75">
      <c r="A4462" t="str">
        <f t="shared" si="69"/>
        <v>RennazAutre agent énergétiqueECS</v>
      </c>
      <c r="C4462" s="148" t="s">
        <v>550</v>
      </c>
      <c r="D4462" s="148" t="s">
        <v>245</v>
      </c>
      <c r="E4462" s="148">
        <v>6298.35294118</v>
      </c>
      <c r="F4462" s="148" t="s">
        <v>37</v>
      </c>
    </row>
    <row r="4463" spans="1:6" ht="15.75">
      <c r="A4463" t="str">
        <f t="shared" si="69"/>
        <v>ReverolleBoisECS</v>
      </c>
      <c r="C4463" s="148" t="s">
        <v>551</v>
      </c>
      <c r="D4463" s="148" t="s">
        <v>66</v>
      </c>
      <c r="E4463" s="148" t="e">
        <v>#N/A</v>
      </c>
      <c r="F4463" s="148" t="s">
        <v>37</v>
      </c>
    </row>
    <row r="4464" spans="1:6" ht="15.75">
      <c r="A4464" t="str">
        <f t="shared" si="69"/>
        <v>ReverolleElectricitéECS</v>
      </c>
      <c r="C4464" s="148" t="s">
        <v>551</v>
      </c>
      <c r="D4464" s="148" t="s">
        <v>97</v>
      </c>
      <c r="E4464" s="148" t="e">
        <v>#N/A</v>
      </c>
      <c r="F4464" s="148" t="s">
        <v>37</v>
      </c>
    </row>
    <row r="4465" spans="1:6" ht="15.75">
      <c r="A4465" t="str">
        <f t="shared" si="69"/>
        <v>ReverolleGazECS</v>
      </c>
      <c r="C4465" s="148" t="s">
        <v>551</v>
      </c>
      <c r="D4465" s="148" t="s">
        <v>239</v>
      </c>
      <c r="E4465" s="148" t="e">
        <v>#N/A</v>
      </c>
      <c r="F4465" s="148" t="s">
        <v>37</v>
      </c>
    </row>
    <row r="4466" spans="1:6" ht="15.75">
      <c r="A4466" t="str">
        <f t="shared" si="69"/>
        <v>ReverolleMazoutECS</v>
      </c>
      <c r="C4466" s="148" t="s">
        <v>551</v>
      </c>
      <c r="D4466" s="148" t="s">
        <v>70</v>
      </c>
      <c r="E4466" s="148" t="e">
        <v>#N/A</v>
      </c>
      <c r="F4466" s="148" t="s">
        <v>37</v>
      </c>
    </row>
    <row r="4467" spans="1:6" ht="15.75">
      <c r="A4467" t="str">
        <f t="shared" si="69"/>
        <v>ReverolleNon renseignéECS</v>
      </c>
      <c r="C4467" s="148" t="s">
        <v>551</v>
      </c>
      <c r="D4467" s="148" t="s">
        <v>696</v>
      </c>
      <c r="E4467" s="148" t="e">
        <v>#N/A</v>
      </c>
      <c r="F4467" s="148" t="s">
        <v>37</v>
      </c>
    </row>
    <row r="4468" spans="1:6" ht="15.75">
      <c r="A4468" t="str">
        <f t="shared" si="69"/>
        <v>ReverollePACECS</v>
      </c>
      <c r="C4468" s="148" t="s">
        <v>551</v>
      </c>
      <c r="D4468" s="148" t="s">
        <v>69</v>
      </c>
      <c r="E4468" s="148" t="e">
        <v>#N/A</v>
      </c>
      <c r="F4468" s="148" t="s">
        <v>37</v>
      </c>
    </row>
    <row r="4469" spans="1:6" ht="15.75">
      <c r="A4469" t="str">
        <f t="shared" si="69"/>
        <v>ReverolleSolaireECS</v>
      </c>
      <c r="C4469" s="148" t="s">
        <v>551</v>
      </c>
      <c r="D4469" s="148" t="s">
        <v>240</v>
      </c>
      <c r="E4469" s="148" t="e">
        <v>#N/A</v>
      </c>
      <c r="F4469" s="148" t="s">
        <v>37</v>
      </c>
    </row>
    <row r="4470" spans="1:6" ht="15.75">
      <c r="A4470" t="str">
        <f t="shared" si="69"/>
        <v>RivazBoisECS</v>
      </c>
      <c r="C4470" s="148" t="s">
        <v>552</v>
      </c>
      <c r="D4470" s="148" t="s">
        <v>66</v>
      </c>
      <c r="E4470" s="148">
        <v>26723.200000000001</v>
      </c>
      <c r="F4470" s="148" t="s">
        <v>37</v>
      </c>
    </row>
    <row r="4471" spans="1:6" ht="15.75">
      <c r="A4471" t="str">
        <f t="shared" si="69"/>
        <v>RivazElectricitéECS</v>
      </c>
      <c r="C4471" s="148" t="s">
        <v>552</v>
      </c>
      <c r="D4471" s="148" t="s">
        <v>97</v>
      </c>
      <c r="E4471" s="148">
        <v>44163.777777790005</v>
      </c>
      <c r="F4471" s="148" t="s">
        <v>37</v>
      </c>
    </row>
    <row r="4472" spans="1:6" ht="15.75">
      <c r="A4472" t="str">
        <f t="shared" si="69"/>
        <v>RivazGazECS</v>
      </c>
      <c r="C4472" s="148" t="s">
        <v>552</v>
      </c>
      <c r="D4472" s="148" t="s">
        <v>239</v>
      </c>
      <c r="E4472" s="148">
        <v>397193.1764705801</v>
      </c>
      <c r="F4472" s="148" t="s">
        <v>37</v>
      </c>
    </row>
    <row r="4473" spans="1:6" ht="15.75">
      <c r="A4473" t="str">
        <f t="shared" si="69"/>
        <v>RivazMazoutECS</v>
      </c>
      <c r="C4473" s="148" t="s">
        <v>552</v>
      </c>
      <c r="D4473" s="148" t="s">
        <v>70</v>
      </c>
      <c r="E4473" s="148">
        <v>183164.79999999999</v>
      </c>
      <c r="F4473" s="148" t="s">
        <v>37</v>
      </c>
    </row>
    <row r="4474" spans="1:6" ht="15.75">
      <c r="A4474" t="str">
        <f t="shared" si="69"/>
        <v>RivazPACECS</v>
      </c>
      <c r="C4474" s="148" t="s">
        <v>552</v>
      </c>
      <c r="D4474" s="148" t="s">
        <v>69</v>
      </c>
      <c r="E4474" s="148" t="e">
        <v>#N/A</v>
      </c>
      <c r="F4474" s="148" t="s">
        <v>37</v>
      </c>
    </row>
    <row r="4475" spans="1:6" ht="15.75">
      <c r="A4475" t="str">
        <f t="shared" si="69"/>
        <v>RivazSolaireECS</v>
      </c>
      <c r="C4475" s="148" t="s">
        <v>552</v>
      </c>
      <c r="D4475" s="148" t="s">
        <v>240</v>
      </c>
      <c r="E4475" s="148">
        <v>5409.6</v>
      </c>
      <c r="F4475" s="148" t="s">
        <v>37</v>
      </c>
    </row>
    <row r="4476" spans="1:6" ht="15.75">
      <c r="A4476" t="str">
        <f t="shared" si="69"/>
        <v>Roche (VD)BoisECS</v>
      </c>
      <c r="C4476" s="148" t="s">
        <v>621</v>
      </c>
      <c r="D4476" s="148" t="s">
        <v>66</v>
      </c>
      <c r="E4476" s="148">
        <v>136220.43921572002</v>
      </c>
      <c r="F4476" s="148" t="s">
        <v>37</v>
      </c>
    </row>
    <row r="4477" spans="1:6" ht="15.75">
      <c r="A4477" t="str">
        <f t="shared" si="69"/>
        <v>Roche (VD)CADECS</v>
      </c>
      <c r="C4477" s="148" t="s">
        <v>621</v>
      </c>
      <c r="D4477" s="148" t="s">
        <v>242</v>
      </c>
      <c r="E4477" s="148">
        <v>493924.20000000007</v>
      </c>
      <c r="F4477" s="148" t="s">
        <v>37</v>
      </c>
    </row>
    <row r="4478" spans="1:6" ht="15.75">
      <c r="A4478" t="str">
        <f t="shared" si="69"/>
        <v>Roche (VD)ElectricitéECS</v>
      </c>
      <c r="C4478" s="148" t="s">
        <v>621</v>
      </c>
      <c r="D4478" s="148" t="s">
        <v>97</v>
      </c>
      <c r="E4478" s="148">
        <v>178856.53333333007</v>
      </c>
      <c r="F4478" s="148" t="s">
        <v>37</v>
      </c>
    </row>
    <row r="4479" spans="1:6" ht="15.75">
      <c r="A4479" t="str">
        <f t="shared" si="69"/>
        <v>Roche (VD)GazECS</v>
      </c>
      <c r="C4479" s="148" t="s">
        <v>621</v>
      </c>
      <c r="D4479" s="148" t="s">
        <v>239</v>
      </c>
      <c r="E4479" s="148">
        <v>833970.1803067904</v>
      </c>
      <c r="F4479" s="148" t="s">
        <v>37</v>
      </c>
    </row>
    <row r="4480" spans="1:6" ht="15.75">
      <c r="A4480" t="str">
        <f t="shared" si="69"/>
        <v>Roche (VD)MazoutECS</v>
      </c>
      <c r="C4480" s="148" t="s">
        <v>621</v>
      </c>
      <c r="D4480" s="148" t="s">
        <v>70</v>
      </c>
      <c r="E4480" s="148">
        <v>501565.64705881994</v>
      </c>
      <c r="F4480" s="148" t="s">
        <v>37</v>
      </c>
    </row>
    <row r="4481" spans="1:6" ht="15.75">
      <c r="A4481" t="str">
        <f t="shared" si="69"/>
        <v>Roche (VD)Non renseignéECS</v>
      </c>
      <c r="C4481" s="148" t="s">
        <v>621</v>
      </c>
      <c r="D4481" s="148" t="s">
        <v>696</v>
      </c>
      <c r="E4481" s="148">
        <v>0</v>
      </c>
      <c r="F4481" s="148" t="s">
        <v>37</v>
      </c>
    </row>
    <row r="4482" spans="1:6" ht="15.75">
      <c r="A4482" t="str">
        <f t="shared" si="69"/>
        <v>Roche (VD)PACECS</v>
      </c>
      <c r="C4482" s="148" t="s">
        <v>621</v>
      </c>
      <c r="D4482" s="148" t="s">
        <v>69</v>
      </c>
      <c r="E4482" s="148">
        <v>8305.6989966599995</v>
      </c>
      <c r="F4482" s="148" t="s">
        <v>37</v>
      </c>
    </row>
    <row r="4483" spans="1:6" ht="15.75">
      <c r="A4483" t="str">
        <f t="shared" si="69"/>
        <v>Roche (VD)SolaireECS</v>
      </c>
      <c r="C4483" s="148" t="s">
        <v>621</v>
      </c>
      <c r="D4483" s="148" t="s">
        <v>240</v>
      </c>
      <c r="E4483" s="148">
        <v>49476</v>
      </c>
      <c r="F4483" s="148" t="s">
        <v>37</v>
      </c>
    </row>
    <row r="4484" spans="1:6" ht="15.75">
      <c r="A4484" t="str">
        <f t="shared" si="69"/>
        <v>RolleAutre agent énergétiqueECS</v>
      </c>
      <c r="C4484" s="148" t="s">
        <v>553</v>
      </c>
      <c r="D4484" s="148" t="s">
        <v>245</v>
      </c>
      <c r="E4484" s="148" t="e">
        <v>#N/A</v>
      </c>
      <c r="F4484" s="148" t="s">
        <v>37</v>
      </c>
    </row>
    <row r="4485" spans="1:6" ht="15.75">
      <c r="A4485" t="str">
        <f t="shared" si="69"/>
        <v>RolleBoisECS</v>
      </c>
      <c r="C4485" s="148" t="s">
        <v>553</v>
      </c>
      <c r="D4485" s="148" t="s">
        <v>66</v>
      </c>
      <c r="E4485" s="148">
        <v>114075.84313725001</v>
      </c>
      <c r="F4485" s="148" t="s">
        <v>37</v>
      </c>
    </row>
    <row r="4486" spans="1:6" ht="15.75">
      <c r="A4486" t="str">
        <f t="shared" si="69"/>
        <v>RolleCADECS</v>
      </c>
      <c r="C4486" s="148" t="s">
        <v>553</v>
      </c>
      <c r="D4486" s="148" t="s">
        <v>242</v>
      </c>
      <c r="E4486" s="148">
        <v>7974.4</v>
      </c>
      <c r="F4486" s="148" t="s">
        <v>37</v>
      </c>
    </row>
    <row r="4487" spans="1:6" ht="15.75">
      <c r="A4487" t="str">
        <f t="shared" si="69"/>
        <v>RolleCharbonECS</v>
      </c>
      <c r="C4487" s="148" t="s">
        <v>553</v>
      </c>
      <c r="D4487" s="148" t="s">
        <v>695</v>
      </c>
      <c r="E4487" s="148" t="e">
        <v>#N/A</v>
      </c>
      <c r="F4487" s="148" t="s">
        <v>37</v>
      </c>
    </row>
    <row r="4488" spans="1:6" ht="15.75">
      <c r="A4488" t="str">
        <f t="shared" si="69"/>
        <v>RolleElectricitéECS</v>
      </c>
      <c r="C4488" s="148" t="s">
        <v>553</v>
      </c>
      <c r="D4488" s="148" t="s">
        <v>97</v>
      </c>
      <c r="E4488" s="148">
        <v>753747.55555552011</v>
      </c>
      <c r="F4488" s="148" t="s">
        <v>37</v>
      </c>
    </row>
    <row r="4489" spans="1:6" ht="15.75">
      <c r="A4489" t="str">
        <f t="shared" si="69"/>
        <v>RolleGazECS</v>
      </c>
      <c r="C4489" s="148" t="s">
        <v>553</v>
      </c>
      <c r="D4489" s="148" t="s">
        <v>239</v>
      </c>
      <c r="E4489" s="148">
        <v>5272105.465643636</v>
      </c>
      <c r="F4489" s="148" t="s">
        <v>37</v>
      </c>
    </row>
    <row r="4490" spans="1:6" ht="15.75">
      <c r="A4490" t="str">
        <f t="shared" si="69"/>
        <v>RolleMazoutECS</v>
      </c>
      <c r="C4490" s="148" t="s">
        <v>553</v>
      </c>
      <c r="D4490" s="148" t="s">
        <v>70</v>
      </c>
      <c r="E4490" s="148">
        <v>2659905.7882352578</v>
      </c>
      <c r="F4490" s="148" t="s">
        <v>37</v>
      </c>
    </row>
    <row r="4491" spans="1:6" ht="15.75">
      <c r="A4491" t="str">
        <f t="shared" si="69"/>
        <v>RolleNon renseignéECS</v>
      </c>
      <c r="C4491" s="148" t="s">
        <v>553</v>
      </c>
      <c r="D4491" s="148" t="s">
        <v>696</v>
      </c>
      <c r="E4491" s="148">
        <v>0</v>
      </c>
      <c r="F4491" s="148" t="s">
        <v>37</v>
      </c>
    </row>
    <row r="4492" spans="1:6" ht="15.75">
      <c r="A4492" t="str">
        <f t="shared" si="69"/>
        <v>RollePACECS</v>
      </c>
      <c r="C4492" s="148" t="s">
        <v>553</v>
      </c>
      <c r="D4492" s="148" t="s">
        <v>69</v>
      </c>
      <c r="E4492" s="148">
        <v>149824.72934474002</v>
      </c>
      <c r="F4492" s="148" t="s">
        <v>37</v>
      </c>
    </row>
    <row r="4493" spans="1:6" ht="15.75">
      <c r="A4493" t="str">
        <f t="shared" si="69"/>
        <v>RolleSolaireECS</v>
      </c>
      <c r="C4493" s="148" t="s">
        <v>553</v>
      </c>
      <c r="D4493" s="148" t="s">
        <v>240</v>
      </c>
      <c r="E4493" s="148">
        <v>537786.9</v>
      </c>
      <c r="F4493" s="148" t="s">
        <v>37</v>
      </c>
    </row>
    <row r="4494" spans="1:6" ht="15.75">
      <c r="A4494" t="str">
        <f t="shared" si="69"/>
        <v>Romainmôtier-EnvyBoisECS</v>
      </c>
      <c r="C4494" s="148" t="s">
        <v>620</v>
      </c>
      <c r="D4494" s="148" t="s">
        <v>66</v>
      </c>
      <c r="E4494" s="148">
        <v>56944.094117640008</v>
      </c>
      <c r="F4494" s="148" t="s">
        <v>37</v>
      </c>
    </row>
    <row r="4495" spans="1:6" ht="15.75">
      <c r="A4495" t="str">
        <f t="shared" si="69"/>
        <v>Romainmôtier-EnvyCADECS</v>
      </c>
      <c r="C4495" s="148" t="s">
        <v>620</v>
      </c>
      <c r="D4495" s="148" t="s">
        <v>242</v>
      </c>
      <c r="E4495" s="148">
        <v>134.4</v>
      </c>
      <c r="F4495" s="148" t="s">
        <v>37</v>
      </c>
    </row>
    <row r="4496" spans="1:6" ht="15.75">
      <c r="A4496" t="str">
        <f t="shared" si="69"/>
        <v>Romainmôtier-EnvyElectricitéECS</v>
      </c>
      <c r="C4496" s="148" t="s">
        <v>620</v>
      </c>
      <c r="D4496" s="148" t="s">
        <v>97</v>
      </c>
      <c r="E4496" s="148">
        <v>257744.66666666997</v>
      </c>
      <c r="F4496" s="148" t="s">
        <v>37</v>
      </c>
    </row>
    <row r="4497" spans="1:6" ht="15.75">
      <c r="A4497" t="str">
        <f t="shared" si="69"/>
        <v>Romainmôtier-EnvyGazECS</v>
      </c>
      <c r="C4497" s="148" t="s">
        <v>620</v>
      </c>
      <c r="D4497" s="148" t="s">
        <v>239</v>
      </c>
      <c r="E4497" s="148">
        <v>191484.37340152997</v>
      </c>
      <c r="F4497" s="148" t="s">
        <v>37</v>
      </c>
    </row>
    <row r="4498" spans="1:6" ht="15.75">
      <c r="A4498" t="str">
        <f t="shared" si="69"/>
        <v>Romainmôtier-EnvyMazoutECS</v>
      </c>
      <c r="C4498" s="148" t="s">
        <v>620</v>
      </c>
      <c r="D4498" s="148" t="s">
        <v>70</v>
      </c>
      <c r="E4498" s="148">
        <v>392431.52941175998</v>
      </c>
      <c r="F4498" s="148" t="s">
        <v>37</v>
      </c>
    </row>
    <row r="4499" spans="1:6" ht="15.75">
      <c r="A4499" t="str">
        <f t="shared" ref="A4499:A4562" si="70">_xlfn.CONCAT(C4499,D4499,F4499)</f>
        <v>Romainmôtier-EnvyNon renseignéECS</v>
      </c>
      <c r="C4499" s="148" t="s">
        <v>620</v>
      </c>
      <c r="D4499" s="148" t="s">
        <v>696</v>
      </c>
      <c r="E4499" s="148">
        <v>0</v>
      </c>
      <c r="F4499" s="148" t="s">
        <v>37</v>
      </c>
    </row>
    <row r="4500" spans="1:6" ht="15.75">
      <c r="A4500" t="str">
        <f t="shared" si="70"/>
        <v>Romainmôtier-EnvyPACECS</v>
      </c>
      <c r="C4500" s="148" t="s">
        <v>620</v>
      </c>
      <c r="D4500" s="148" t="s">
        <v>69</v>
      </c>
      <c r="E4500" s="148">
        <v>7183.17056856</v>
      </c>
      <c r="F4500" s="148" t="s">
        <v>37</v>
      </c>
    </row>
    <row r="4501" spans="1:6" ht="15.75">
      <c r="A4501" t="str">
        <f t="shared" si="70"/>
        <v>Romainmôtier-EnvySolaireECS</v>
      </c>
      <c r="C4501" s="148" t="s">
        <v>620</v>
      </c>
      <c r="D4501" s="148" t="s">
        <v>240</v>
      </c>
      <c r="E4501" s="148">
        <v>38565.799999999988</v>
      </c>
      <c r="F4501" s="148" t="s">
        <v>37</v>
      </c>
    </row>
    <row r="4502" spans="1:6" ht="15.75">
      <c r="A4502" t="str">
        <f t="shared" si="70"/>
        <v>Romanel-sur-LausanneBoisECS</v>
      </c>
      <c r="C4502" s="148" t="s">
        <v>691</v>
      </c>
      <c r="D4502" s="148" t="s">
        <v>66</v>
      </c>
      <c r="E4502" s="148">
        <v>173409.81960784999</v>
      </c>
      <c r="F4502" s="148" t="s">
        <v>37</v>
      </c>
    </row>
    <row r="4503" spans="1:6" ht="15.75">
      <c r="A4503" t="str">
        <f t="shared" si="70"/>
        <v>Romanel-sur-LausanneCADECS</v>
      </c>
      <c r="C4503" s="148" t="s">
        <v>691</v>
      </c>
      <c r="D4503" s="148" t="s">
        <v>242</v>
      </c>
      <c r="E4503" s="148">
        <v>11463.2</v>
      </c>
      <c r="F4503" s="148" t="s">
        <v>37</v>
      </c>
    </row>
    <row r="4504" spans="1:6" ht="15.75">
      <c r="A4504" t="str">
        <f t="shared" si="70"/>
        <v>Romanel-sur-LausanneElectricitéECS</v>
      </c>
      <c r="C4504" s="148" t="s">
        <v>691</v>
      </c>
      <c r="D4504" s="148" t="s">
        <v>97</v>
      </c>
      <c r="E4504" s="148">
        <v>383672.48888893996</v>
      </c>
      <c r="F4504" s="148" t="s">
        <v>37</v>
      </c>
    </row>
    <row r="4505" spans="1:6" ht="15.75">
      <c r="A4505" t="str">
        <f t="shared" si="70"/>
        <v>Romanel-sur-LausanneGazECS</v>
      </c>
      <c r="C4505" s="148" t="s">
        <v>691</v>
      </c>
      <c r="D4505" s="148" t="s">
        <v>239</v>
      </c>
      <c r="E4505" s="148">
        <v>1662408.8925831497</v>
      </c>
      <c r="F4505" s="148" t="s">
        <v>37</v>
      </c>
    </row>
    <row r="4506" spans="1:6" ht="15.75">
      <c r="A4506" t="str">
        <f t="shared" si="70"/>
        <v>Romanel-sur-LausanneMazoutECS</v>
      </c>
      <c r="C4506" s="148" t="s">
        <v>691</v>
      </c>
      <c r="D4506" s="148" t="s">
        <v>70</v>
      </c>
      <c r="E4506" s="148">
        <v>2326969.6470588306</v>
      </c>
      <c r="F4506" s="148" t="s">
        <v>37</v>
      </c>
    </row>
    <row r="4507" spans="1:6" ht="15.75">
      <c r="A4507" t="str">
        <f t="shared" si="70"/>
        <v>Romanel-sur-LausanneNon renseignéECS</v>
      </c>
      <c r="C4507" s="148" t="s">
        <v>691</v>
      </c>
      <c r="D4507" s="148" t="s">
        <v>696</v>
      </c>
      <c r="E4507" s="148">
        <v>0</v>
      </c>
      <c r="F4507" s="148" t="s">
        <v>37</v>
      </c>
    </row>
    <row r="4508" spans="1:6" ht="15.75">
      <c r="A4508" t="str">
        <f t="shared" si="70"/>
        <v>Romanel-sur-LausannePACECS</v>
      </c>
      <c r="C4508" s="148" t="s">
        <v>691</v>
      </c>
      <c r="D4508" s="148" t="s">
        <v>69</v>
      </c>
      <c r="E4508" s="148">
        <v>20099.234485309997</v>
      </c>
      <c r="F4508" s="148" t="s">
        <v>37</v>
      </c>
    </row>
    <row r="4509" spans="1:6" ht="15.75">
      <c r="A4509" t="str">
        <f t="shared" si="70"/>
        <v>Romanel-sur-LausanneSolaireECS</v>
      </c>
      <c r="C4509" s="148" t="s">
        <v>691</v>
      </c>
      <c r="D4509" s="148" t="s">
        <v>240</v>
      </c>
      <c r="E4509" s="148">
        <v>644450.4</v>
      </c>
      <c r="F4509" s="148" t="s">
        <v>37</v>
      </c>
    </row>
    <row r="4510" spans="1:6" ht="15.75">
      <c r="A4510" t="str">
        <f t="shared" si="70"/>
        <v>Romanel-sur-MorgesBoisECS</v>
      </c>
      <c r="C4510" s="148" t="s">
        <v>619</v>
      </c>
      <c r="D4510" s="148" t="s">
        <v>66</v>
      </c>
      <c r="E4510" s="148">
        <v>2371.7647058799998</v>
      </c>
      <c r="F4510" s="148" t="s">
        <v>37</v>
      </c>
    </row>
    <row r="4511" spans="1:6" ht="15.75">
      <c r="A4511" t="str">
        <f t="shared" si="70"/>
        <v>Romanel-sur-MorgesElectricitéECS</v>
      </c>
      <c r="C4511" s="148" t="s">
        <v>619</v>
      </c>
      <c r="D4511" s="148" t="s">
        <v>97</v>
      </c>
      <c r="E4511" s="148">
        <v>337227.33333331003</v>
      </c>
      <c r="F4511" s="148" t="s">
        <v>37</v>
      </c>
    </row>
    <row r="4512" spans="1:6" ht="15.75">
      <c r="A4512" t="str">
        <f t="shared" si="70"/>
        <v>Romanel-sur-MorgesGazECS</v>
      </c>
      <c r="C4512" s="148" t="s">
        <v>619</v>
      </c>
      <c r="D4512" s="148" t="s">
        <v>239</v>
      </c>
      <c r="E4512" s="148">
        <v>55041.196930940001</v>
      </c>
      <c r="F4512" s="148" t="s">
        <v>37</v>
      </c>
    </row>
    <row r="4513" spans="1:6" ht="15.75">
      <c r="A4513" t="str">
        <f t="shared" si="70"/>
        <v>Romanel-sur-MorgesMazoutECS</v>
      </c>
      <c r="C4513" s="148" t="s">
        <v>619</v>
      </c>
      <c r="D4513" s="148" t="s">
        <v>70</v>
      </c>
      <c r="E4513" s="148">
        <v>319210.55614970997</v>
      </c>
      <c r="F4513" s="148" t="s">
        <v>37</v>
      </c>
    </row>
    <row r="4514" spans="1:6" ht="15.75">
      <c r="A4514" t="str">
        <f t="shared" si="70"/>
        <v>Romanel-sur-MorgesNon renseignéECS</v>
      </c>
      <c r="C4514" s="148" t="s">
        <v>619</v>
      </c>
      <c r="D4514" s="148" t="s">
        <v>696</v>
      </c>
      <c r="E4514" s="148">
        <v>0</v>
      </c>
      <c r="F4514" s="148" t="s">
        <v>37</v>
      </c>
    </row>
    <row r="4515" spans="1:6" ht="15.75">
      <c r="A4515" t="str">
        <f t="shared" si="70"/>
        <v>Romanel-sur-MorgesPACECS</v>
      </c>
      <c r="C4515" s="148" t="s">
        <v>619</v>
      </c>
      <c r="D4515" s="148" t="s">
        <v>69</v>
      </c>
      <c r="E4515" s="148">
        <v>7484.7090301100015</v>
      </c>
      <c r="F4515" s="148" t="s">
        <v>37</v>
      </c>
    </row>
    <row r="4516" spans="1:6" ht="15.75">
      <c r="A4516" t="str">
        <f t="shared" si="70"/>
        <v>Romanel-sur-MorgesSolaireECS</v>
      </c>
      <c r="C4516" s="148" t="s">
        <v>619</v>
      </c>
      <c r="D4516" s="148" t="s">
        <v>240</v>
      </c>
      <c r="E4516" s="148">
        <v>45640</v>
      </c>
      <c r="F4516" s="148" t="s">
        <v>37</v>
      </c>
    </row>
    <row r="4517" spans="1:6" ht="15.75">
      <c r="A4517" t="str">
        <f t="shared" si="70"/>
        <v>RoprazAutre agent énergétiqueECS</v>
      </c>
      <c r="C4517" s="148" t="s">
        <v>554</v>
      </c>
      <c r="D4517" s="148" t="s">
        <v>245</v>
      </c>
      <c r="E4517" s="148">
        <v>2951.5294117600001</v>
      </c>
      <c r="F4517" s="148" t="s">
        <v>37</v>
      </c>
    </row>
    <row r="4518" spans="1:6" ht="15.75">
      <c r="A4518" t="str">
        <f t="shared" si="70"/>
        <v>RoprazBoisECS</v>
      </c>
      <c r="C4518" s="148" t="s">
        <v>554</v>
      </c>
      <c r="D4518" s="148" t="s">
        <v>66</v>
      </c>
      <c r="E4518" s="148">
        <v>90757.443137260008</v>
      </c>
      <c r="F4518" s="148" t="s">
        <v>37</v>
      </c>
    </row>
    <row r="4519" spans="1:6" ht="15.75">
      <c r="A4519" t="str">
        <f t="shared" si="70"/>
        <v>RoprazCADECS</v>
      </c>
      <c r="C4519" s="148" t="s">
        <v>554</v>
      </c>
      <c r="D4519" s="148" t="s">
        <v>242</v>
      </c>
      <c r="E4519" s="148" t="e">
        <v>#N/A</v>
      </c>
      <c r="F4519" s="148" t="s">
        <v>37</v>
      </c>
    </row>
    <row r="4520" spans="1:6" ht="15.75">
      <c r="A4520" t="str">
        <f t="shared" si="70"/>
        <v>RoprazElectricitéECS</v>
      </c>
      <c r="C4520" s="148" t="s">
        <v>554</v>
      </c>
      <c r="D4520" s="148" t="s">
        <v>97</v>
      </c>
      <c r="E4520" s="148">
        <v>190488.66666668002</v>
      </c>
      <c r="F4520" s="148" t="s">
        <v>37</v>
      </c>
    </row>
    <row r="4521" spans="1:6" ht="15.75">
      <c r="A4521" t="str">
        <f t="shared" si="70"/>
        <v>RoprazGazECS</v>
      </c>
      <c r="C4521" s="148" t="s">
        <v>554</v>
      </c>
      <c r="D4521" s="148" t="s">
        <v>239</v>
      </c>
      <c r="E4521" s="148">
        <v>72052.145780039995</v>
      </c>
      <c r="F4521" s="148" t="s">
        <v>37</v>
      </c>
    </row>
    <row r="4522" spans="1:6" ht="15.75">
      <c r="A4522" t="str">
        <f t="shared" si="70"/>
        <v>RoprazMazoutECS</v>
      </c>
      <c r="C4522" s="148" t="s">
        <v>554</v>
      </c>
      <c r="D4522" s="148" t="s">
        <v>70</v>
      </c>
      <c r="E4522" s="148">
        <v>377706.82352939009</v>
      </c>
      <c r="F4522" s="148" t="s">
        <v>37</v>
      </c>
    </row>
    <row r="4523" spans="1:6" ht="15.75">
      <c r="A4523" t="str">
        <f t="shared" si="70"/>
        <v>RoprazNon renseignéECS</v>
      </c>
      <c r="C4523" s="148" t="s">
        <v>554</v>
      </c>
      <c r="D4523" s="148" t="s">
        <v>696</v>
      </c>
      <c r="E4523" s="148">
        <v>0</v>
      </c>
      <c r="F4523" s="148" t="s">
        <v>37</v>
      </c>
    </row>
    <row r="4524" spans="1:6" ht="15.75">
      <c r="A4524" t="str">
        <f t="shared" si="70"/>
        <v>RoprazPACECS</v>
      </c>
      <c r="C4524" s="148" t="s">
        <v>554</v>
      </c>
      <c r="D4524" s="148" t="s">
        <v>69</v>
      </c>
      <c r="E4524" s="148">
        <v>10584</v>
      </c>
      <c r="F4524" s="148" t="s">
        <v>37</v>
      </c>
    </row>
    <row r="4525" spans="1:6" ht="15.75">
      <c r="A4525" t="str">
        <f t="shared" si="70"/>
        <v>RoprazSolaireECS</v>
      </c>
      <c r="C4525" s="148" t="s">
        <v>554</v>
      </c>
      <c r="D4525" s="148" t="s">
        <v>240</v>
      </c>
      <c r="E4525" s="148">
        <v>77285.600000000006</v>
      </c>
      <c r="F4525" s="148" t="s">
        <v>37</v>
      </c>
    </row>
    <row r="4526" spans="1:6" ht="15.75">
      <c r="A4526" t="str">
        <f t="shared" si="70"/>
        <v>RossengesBoisECS</v>
      </c>
      <c r="C4526" s="148" t="s">
        <v>555</v>
      </c>
      <c r="D4526" s="148" t="s">
        <v>66</v>
      </c>
      <c r="E4526" s="148">
        <v>43755.600000000006</v>
      </c>
      <c r="F4526" s="148" t="s">
        <v>37</v>
      </c>
    </row>
    <row r="4527" spans="1:6" ht="15.75">
      <c r="A4527" t="str">
        <f t="shared" si="70"/>
        <v>RossengesCADECS</v>
      </c>
      <c r="C4527" s="148" t="s">
        <v>555</v>
      </c>
      <c r="D4527" s="148" t="s">
        <v>242</v>
      </c>
      <c r="E4527" s="148" t="e">
        <v>#N/A</v>
      </c>
      <c r="F4527" s="148" t="s">
        <v>37</v>
      </c>
    </row>
    <row r="4528" spans="1:6" ht="15.75">
      <c r="A4528" t="str">
        <f t="shared" si="70"/>
        <v>RossengesMazoutECS</v>
      </c>
      <c r="C4528" s="148" t="s">
        <v>555</v>
      </c>
      <c r="D4528" s="148" t="s">
        <v>70</v>
      </c>
      <c r="E4528" s="148">
        <v>62515.764705889997</v>
      </c>
      <c r="F4528" s="148" t="s">
        <v>37</v>
      </c>
    </row>
    <row r="4529" spans="1:6" ht="15.75">
      <c r="A4529" t="str">
        <f t="shared" si="70"/>
        <v>RossengesPACECS</v>
      </c>
      <c r="C4529" s="148" t="s">
        <v>555</v>
      </c>
      <c r="D4529" s="148" t="s">
        <v>69</v>
      </c>
      <c r="E4529" s="148">
        <v>6560.6153846099996</v>
      </c>
      <c r="F4529" s="148" t="s">
        <v>37</v>
      </c>
    </row>
    <row r="4530" spans="1:6" ht="15.75">
      <c r="A4530" t="str">
        <f t="shared" si="70"/>
        <v>RossengesElectricitéECS</v>
      </c>
      <c r="C4530" s="148" t="s">
        <v>555</v>
      </c>
      <c r="D4530" s="148" t="s">
        <v>97</v>
      </c>
      <c r="E4530" s="148">
        <v>17068.8</v>
      </c>
      <c r="F4530" s="148" t="s">
        <v>37</v>
      </c>
    </row>
    <row r="4531" spans="1:6" ht="15.75">
      <c r="A4531" t="str">
        <f t="shared" si="70"/>
        <v>RossengesSolaireECS</v>
      </c>
      <c r="C4531" s="148" t="s">
        <v>555</v>
      </c>
      <c r="D4531" s="148" t="s">
        <v>240</v>
      </c>
      <c r="E4531" s="148" t="e">
        <v>#N/A</v>
      </c>
      <c r="F4531" s="148" t="s">
        <v>37</v>
      </c>
    </row>
    <row r="4532" spans="1:6" ht="15.75">
      <c r="A4532" t="str">
        <f t="shared" si="70"/>
        <v>RossinièreBoisECS</v>
      </c>
      <c r="C4532" s="148" t="s">
        <v>692</v>
      </c>
      <c r="D4532" s="148" t="s">
        <v>66</v>
      </c>
      <c r="E4532" s="148">
        <v>223866.36862744985</v>
      </c>
      <c r="F4532" s="148" t="s">
        <v>37</v>
      </c>
    </row>
    <row r="4533" spans="1:6" ht="15.75">
      <c r="A4533" t="str">
        <f t="shared" si="70"/>
        <v>RossinièreCADECS</v>
      </c>
      <c r="C4533" s="148" t="s">
        <v>692</v>
      </c>
      <c r="D4533" s="148" t="s">
        <v>242</v>
      </c>
      <c r="E4533" s="148">
        <v>22159.200000000001</v>
      </c>
      <c r="F4533" s="148" t="s">
        <v>37</v>
      </c>
    </row>
    <row r="4534" spans="1:6" ht="15.75">
      <c r="A4534" t="str">
        <f t="shared" si="70"/>
        <v>RossinièreElectricitéECS</v>
      </c>
      <c r="C4534" s="148" t="s">
        <v>692</v>
      </c>
      <c r="D4534" s="148" t="s">
        <v>97</v>
      </c>
      <c r="E4534" s="148">
        <v>430093.68888888985</v>
      </c>
      <c r="F4534" s="148" t="s">
        <v>37</v>
      </c>
    </row>
    <row r="4535" spans="1:6" ht="15.75">
      <c r="A4535" t="str">
        <f t="shared" si="70"/>
        <v>RossinièreMazoutECS</v>
      </c>
      <c r="C4535" s="148" t="s">
        <v>692</v>
      </c>
      <c r="D4535" s="148" t="s">
        <v>70</v>
      </c>
      <c r="E4535" s="148">
        <v>358693.17647060007</v>
      </c>
      <c r="F4535" s="148" t="s">
        <v>37</v>
      </c>
    </row>
    <row r="4536" spans="1:6" ht="15.75">
      <c r="A4536" t="str">
        <f t="shared" si="70"/>
        <v>RossinièreNon renseignéECS</v>
      </c>
      <c r="C4536" s="148" t="s">
        <v>692</v>
      </c>
      <c r="D4536" s="148" t="s">
        <v>696</v>
      </c>
      <c r="E4536" s="148">
        <v>0</v>
      </c>
      <c r="F4536" s="148" t="s">
        <v>37</v>
      </c>
    </row>
    <row r="4537" spans="1:6" ht="15.75">
      <c r="A4537" t="str">
        <f t="shared" si="70"/>
        <v>RossinièrePACECS</v>
      </c>
      <c r="C4537" s="148" t="s">
        <v>692</v>
      </c>
      <c r="D4537" s="148" t="s">
        <v>69</v>
      </c>
      <c r="E4537" s="148">
        <v>9377.6588628600002</v>
      </c>
      <c r="F4537" s="148" t="s">
        <v>37</v>
      </c>
    </row>
    <row r="4538" spans="1:6" ht="15.75">
      <c r="A4538" t="str">
        <f t="shared" si="70"/>
        <v>RossinièreAutre agent énergétiqueECS</v>
      </c>
      <c r="C4538" s="148" t="s">
        <v>692</v>
      </c>
      <c r="D4538" s="148" t="s">
        <v>245</v>
      </c>
      <c r="E4538" s="148">
        <v>217.41176471</v>
      </c>
      <c r="F4538" s="148" t="s">
        <v>37</v>
      </c>
    </row>
    <row r="4539" spans="1:6" ht="15.75">
      <c r="A4539" t="str">
        <f t="shared" si="70"/>
        <v>RossinièreGazECS</v>
      </c>
      <c r="C4539" s="148" t="s">
        <v>692</v>
      </c>
      <c r="D4539" s="148" t="s">
        <v>239</v>
      </c>
      <c r="E4539" s="148">
        <v>2898.82352941</v>
      </c>
      <c r="F4539" s="148" t="s">
        <v>37</v>
      </c>
    </row>
    <row r="4540" spans="1:6" ht="15.75">
      <c r="A4540" t="str">
        <f t="shared" si="70"/>
        <v>RossinièreSolaireECS</v>
      </c>
      <c r="C4540" s="148" t="s">
        <v>692</v>
      </c>
      <c r="D4540" s="148" t="s">
        <v>240</v>
      </c>
      <c r="E4540" s="148">
        <v>19187</v>
      </c>
      <c r="F4540" s="148" t="s">
        <v>37</v>
      </c>
    </row>
    <row r="4541" spans="1:6" ht="15.75">
      <c r="A4541" t="str">
        <f t="shared" si="70"/>
        <v>RougemontBoisECS</v>
      </c>
      <c r="C4541" s="148" t="s">
        <v>556</v>
      </c>
      <c r="D4541" s="148" t="s">
        <v>66</v>
      </c>
      <c r="E4541" s="148">
        <v>409173.2180392</v>
      </c>
      <c r="F4541" s="148" t="s">
        <v>37</v>
      </c>
    </row>
    <row r="4542" spans="1:6" ht="15.75">
      <c r="A4542" t="str">
        <f t="shared" si="70"/>
        <v>RougemontCADECS</v>
      </c>
      <c r="C4542" s="148" t="s">
        <v>556</v>
      </c>
      <c r="D4542" s="148" t="s">
        <v>242</v>
      </c>
      <c r="E4542" s="148">
        <v>42210</v>
      </c>
      <c r="F4542" s="148" t="s">
        <v>37</v>
      </c>
    </row>
    <row r="4543" spans="1:6" ht="15.75">
      <c r="A4543" t="str">
        <f t="shared" si="70"/>
        <v>RougemontElectricitéECS</v>
      </c>
      <c r="C4543" s="148" t="s">
        <v>556</v>
      </c>
      <c r="D4543" s="148" t="s">
        <v>97</v>
      </c>
      <c r="E4543" s="148">
        <v>1030377.28888891</v>
      </c>
      <c r="F4543" s="148" t="s">
        <v>37</v>
      </c>
    </row>
    <row r="4544" spans="1:6" ht="15.75">
      <c r="A4544" t="str">
        <f t="shared" si="70"/>
        <v>RougemontGazECS</v>
      </c>
      <c r="C4544" s="148" t="s">
        <v>556</v>
      </c>
      <c r="D4544" s="148" t="s">
        <v>239</v>
      </c>
      <c r="E4544" s="148">
        <v>17781.521739129999</v>
      </c>
      <c r="F4544" s="148" t="s">
        <v>37</v>
      </c>
    </row>
    <row r="4545" spans="1:6" ht="15.75">
      <c r="A4545" t="str">
        <f t="shared" si="70"/>
        <v>RougemontMazoutECS</v>
      </c>
      <c r="C4545" s="148" t="s">
        <v>556</v>
      </c>
      <c r="D4545" s="148" t="s">
        <v>70</v>
      </c>
      <c r="E4545" s="148">
        <v>1848458.5411764907</v>
      </c>
      <c r="F4545" s="148" t="s">
        <v>37</v>
      </c>
    </row>
    <row r="4546" spans="1:6" ht="15.75">
      <c r="A4546" t="str">
        <f t="shared" si="70"/>
        <v>RougemontNon renseignéECS</v>
      </c>
      <c r="C4546" s="148" t="s">
        <v>556</v>
      </c>
      <c r="D4546" s="148" t="s">
        <v>696</v>
      </c>
      <c r="E4546" s="148">
        <v>0</v>
      </c>
      <c r="F4546" s="148" t="s">
        <v>37</v>
      </c>
    </row>
    <row r="4547" spans="1:6" ht="15.75">
      <c r="A4547" t="str">
        <f t="shared" si="70"/>
        <v>RougemontPACECS</v>
      </c>
      <c r="C4547" s="148" t="s">
        <v>556</v>
      </c>
      <c r="D4547" s="148" t="s">
        <v>69</v>
      </c>
      <c r="E4547" s="148">
        <v>78171.313390309995</v>
      </c>
      <c r="F4547" s="148" t="s">
        <v>37</v>
      </c>
    </row>
    <row r="4548" spans="1:6" ht="15.75">
      <c r="A4548" t="str">
        <f t="shared" si="70"/>
        <v>RougemontSolaireECS</v>
      </c>
      <c r="C4548" s="148" t="s">
        <v>556</v>
      </c>
      <c r="D4548" s="148" t="s">
        <v>240</v>
      </c>
      <c r="E4548" s="148">
        <v>138303.26999999999</v>
      </c>
      <c r="F4548" s="148" t="s">
        <v>37</v>
      </c>
    </row>
    <row r="4549" spans="1:6" ht="15.75">
      <c r="A4549" t="str">
        <f t="shared" si="70"/>
        <v>RougemontAutre agent énergétiqueECS</v>
      </c>
      <c r="C4549" s="148" t="s">
        <v>556</v>
      </c>
      <c r="D4549" s="148" t="s">
        <v>245</v>
      </c>
      <c r="E4549" s="148">
        <v>6522.35294118</v>
      </c>
      <c r="F4549" s="148" t="s">
        <v>37</v>
      </c>
    </row>
    <row r="4550" spans="1:6" ht="15.75">
      <c r="A4550" t="str">
        <f t="shared" si="70"/>
        <v>RovrayBoisECS</v>
      </c>
      <c r="C4550" s="148" t="s">
        <v>557</v>
      </c>
      <c r="D4550" s="148" t="s">
        <v>66</v>
      </c>
      <c r="E4550" s="148">
        <v>128615.11215685999</v>
      </c>
      <c r="F4550" s="148" t="s">
        <v>37</v>
      </c>
    </row>
    <row r="4551" spans="1:6" ht="15.75">
      <c r="A4551" t="str">
        <f t="shared" si="70"/>
        <v>RovrayElectricitéECS</v>
      </c>
      <c r="C4551" s="148" t="s">
        <v>557</v>
      </c>
      <c r="D4551" s="148" t="s">
        <v>97</v>
      </c>
      <c r="E4551" s="148">
        <v>100196.44444443</v>
      </c>
      <c r="F4551" s="148" t="s">
        <v>37</v>
      </c>
    </row>
    <row r="4552" spans="1:6" ht="15.75">
      <c r="A4552" t="str">
        <f t="shared" si="70"/>
        <v>RovrayGazECS</v>
      </c>
      <c r="C4552" s="148" t="s">
        <v>557</v>
      </c>
      <c r="D4552" s="148" t="s">
        <v>239</v>
      </c>
      <c r="E4552" s="148">
        <v>55994.843989770001</v>
      </c>
      <c r="F4552" s="148" t="s">
        <v>37</v>
      </c>
    </row>
    <row r="4553" spans="1:6" ht="15.75">
      <c r="A4553" t="str">
        <f t="shared" si="70"/>
        <v>RovrayMazoutECS</v>
      </c>
      <c r="C4553" s="148" t="s">
        <v>557</v>
      </c>
      <c r="D4553" s="148" t="s">
        <v>70</v>
      </c>
      <c r="E4553" s="148">
        <v>78279.435294109993</v>
      </c>
      <c r="F4553" s="148" t="s">
        <v>37</v>
      </c>
    </row>
    <row r="4554" spans="1:6" ht="15.75">
      <c r="A4554" t="str">
        <f t="shared" si="70"/>
        <v>RovrayNon renseignéECS</v>
      </c>
      <c r="C4554" s="148" t="s">
        <v>557</v>
      </c>
      <c r="D4554" s="148" t="s">
        <v>696</v>
      </c>
      <c r="E4554" s="148">
        <v>0</v>
      </c>
      <c r="F4554" s="148" t="s">
        <v>37</v>
      </c>
    </row>
    <row r="4555" spans="1:6" ht="15.75">
      <c r="A4555" t="str">
        <f t="shared" si="70"/>
        <v>RovrayPACECS</v>
      </c>
      <c r="C4555" s="148" t="s">
        <v>557</v>
      </c>
      <c r="D4555" s="148" t="s">
        <v>69</v>
      </c>
      <c r="E4555" s="148">
        <v>2219.2107023399999</v>
      </c>
      <c r="F4555" s="148" t="s">
        <v>37</v>
      </c>
    </row>
    <row r="4556" spans="1:6" ht="15.75">
      <c r="A4556" t="str">
        <f t="shared" si="70"/>
        <v>RovraySolaireECS</v>
      </c>
      <c r="C4556" s="148" t="s">
        <v>557</v>
      </c>
      <c r="D4556" s="148" t="s">
        <v>240</v>
      </c>
      <c r="E4556" s="148">
        <v>27778.800000000003</v>
      </c>
      <c r="F4556" s="148" t="s">
        <v>37</v>
      </c>
    </row>
    <row r="4557" spans="1:6" ht="15.75">
      <c r="A4557" t="str">
        <f t="shared" si="70"/>
        <v>RueyresBoisECS</v>
      </c>
      <c r="C4557" s="148" t="s">
        <v>558</v>
      </c>
      <c r="D4557" s="148" t="s">
        <v>66</v>
      </c>
      <c r="E4557" s="148">
        <v>124649.46666667001</v>
      </c>
      <c r="F4557" s="148" t="s">
        <v>37</v>
      </c>
    </row>
    <row r="4558" spans="1:6" ht="15.75">
      <c r="A4558" t="str">
        <f t="shared" si="70"/>
        <v>RueyresCADECS</v>
      </c>
      <c r="C4558" s="148" t="s">
        <v>558</v>
      </c>
      <c r="D4558" s="148" t="s">
        <v>242</v>
      </c>
      <c r="E4558" s="148">
        <v>34762</v>
      </c>
      <c r="F4558" s="148" t="s">
        <v>37</v>
      </c>
    </row>
    <row r="4559" spans="1:6" ht="15.75">
      <c r="A4559" t="str">
        <f t="shared" si="70"/>
        <v>RueyresElectricitéECS</v>
      </c>
      <c r="C4559" s="148" t="s">
        <v>558</v>
      </c>
      <c r="D4559" s="148" t="s">
        <v>97</v>
      </c>
      <c r="E4559" s="148">
        <v>109601.33333332998</v>
      </c>
      <c r="F4559" s="148" t="s">
        <v>37</v>
      </c>
    </row>
    <row r="4560" spans="1:6" ht="15.75">
      <c r="A4560" t="str">
        <f t="shared" si="70"/>
        <v>RueyresGazECS</v>
      </c>
      <c r="C4560" s="148" t="s">
        <v>558</v>
      </c>
      <c r="D4560" s="148" t="s">
        <v>239</v>
      </c>
      <c r="E4560" s="148">
        <v>108290.60869564001</v>
      </c>
      <c r="F4560" s="148" t="s">
        <v>37</v>
      </c>
    </row>
    <row r="4561" spans="1:6" ht="15.75">
      <c r="A4561" t="str">
        <f t="shared" si="70"/>
        <v>RueyresMazoutECS</v>
      </c>
      <c r="C4561" s="148" t="s">
        <v>558</v>
      </c>
      <c r="D4561" s="148" t="s">
        <v>70</v>
      </c>
      <c r="E4561" s="148">
        <v>127731.05882352999</v>
      </c>
      <c r="F4561" s="148" t="s">
        <v>37</v>
      </c>
    </row>
    <row r="4562" spans="1:6" ht="15.75">
      <c r="A4562" t="str">
        <f t="shared" si="70"/>
        <v>RueyresNon renseignéECS</v>
      </c>
      <c r="C4562" s="148" t="s">
        <v>558</v>
      </c>
      <c r="D4562" s="148" t="s">
        <v>696</v>
      </c>
      <c r="E4562" s="148">
        <v>0</v>
      </c>
      <c r="F4562" s="148" t="s">
        <v>37</v>
      </c>
    </row>
    <row r="4563" spans="1:6" ht="15.75">
      <c r="A4563" t="str">
        <f t="shared" ref="A4563:A4626" si="71">_xlfn.CONCAT(C4563,D4563,F4563)</f>
        <v>RueyresPACECS</v>
      </c>
      <c r="C4563" s="148" t="s">
        <v>558</v>
      </c>
      <c r="D4563" s="148" t="s">
        <v>69</v>
      </c>
      <c r="E4563" s="148" t="e">
        <v>#N/A</v>
      </c>
      <c r="F4563" s="148" t="s">
        <v>37</v>
      </c>
    </row>
    <row r="4564" spans="1:6" ht="15.75">
      <c r="A4564" t="str">
        <f t="shared" si="71"/>
        <v>RueyresSolaireECS</v>
      </c>
      <c r="C4564" s="148" t="s">
        <v>558</v>
      </c>
      <c r="D4564" s="148" t="s">
        <v>240</v>
      </c>
      <c r="E4564" s="148">
        <v>53006.1</v>
      </c>
      <c r="F4564" s="148" t="s">
        <v>37</v>
      </c>
    </row>
    <row r="4565" spans="1:6" ht="15.75">
      <c r="A4565" t="str">
        <f t="shared" si="71"/>
        <v>Saint-Barthélemy (VD)BoisECS</v>
      </c>
      <c r="C4565" s="148" t="s">
        <v>618</v>
      </c>
      <c r="D4565" s="148" t="s">
        <v>66</v>
      </c>
      <c r="E4565" s="148">
        <v>82833.223529409996</v>
      </c>
      <c r="F4565" s="148" t="s">
        <v>37</v>
      </c>
    </row>
    <row r="4566" spans="1:6" ht="15.75">
      <c r="A4566" t="str">
        <f t="shared" si="71"/>
        <v>Saint-Barthélemy (VD)CADECS</v>
      </c>
      <c r="C4566" s="148" t="s">
        <v>618</v>
      </c>
      <c r="D4566" s="148" t="s">
        <v>242</v>
      </c>
      <c r="E4566" s="148" t="e">
        <v>#N/A</v>
      </c>
      <c r="F4566" s="148" t="s">
        <v>37</v>
      </c>
    </row>
    <row r="4567" spans="1:6" ht="15.75">
      <c r="A4567" t="str">
        <f t="shared" si="71"/>
        <v>Saint-Barthélemy (VD)ElectricitéECS</v>
      </c>
      <c r="C4567" s="148" t="s">
        <v>618</v>
      </c>
      <c r="D4567" s="148" t="s">
        <v>97</v>
      </c>
      <c r="E4567" s="148">
        <v>185888.57777779998</v>
      </c>
      <c r="F4567" s="148" t="s">
        <v>37</v>
      </c>
    </row>
    <row r="4568" spans="1:6" ht="15.75">
      <c r="A4568" t="str">
        <f t="shared" si="71"/>
        <v>Saint-Barthélemy (VD)GazECS</v>
      </c>
      <c r="C4568" s="148" t="s">
        <v>618</v>
      </c>
      <c r="D4568" s="148" t="s">
        <v>239</v>
      </c>
      <c r="E4568" s="148">
        <v>453078.88491050992</v>
      </c>
      <c r="F4568" s="148" t="s">
        <v>37</v>
      </c>
    </row>
    <row r="4569" spans="1:6" ht="15.75">
      <c r="A4569" t="str">
        <f t="shared" si="71"/>
        <v>Saint-Barthélemy (VD)MazoutECS</v>
      </c>
      <c r="C4569" s="148" t="s">
        <v>618</v>
      </c>
      <c r="D4569" s="148" t="s">
        <v>70</v>
      </c>
      <c r="E4569" s="148">
        <v>283448.94117648003</v>
      </c>
      <c r="F4569" s="148" t="s">
        <v>37</v>
      </c>
    </row>
    <row r="4570" spans="1:6" ht="15.75">
      <c r="A4570" t="str">
        <f t="shared" si="71"/>
        <v>Saint-Barthélemy (VD)Non renseignéECS</v>
      </c>
      <c r="C4570" s="148" t="s">
        <v>618</v>
      </c>
      <c r="D4570" s="148" t="s">
        <v>696</v>
      </c>
      <c r="E4570" s="148">
        <v>0</v>
      </c>
      <c r="F4570" s="148" t="s">
        <v>37</v>
      </c>
    </row>
    <row r="4571" spans="1:6" ht="15.75">
      <c r="A4571" t="str">
        <f t="shared" si="71"/>
        <v>Saint-Barthélemy (VD)PACECS</v>
      </c>
      <c r="C4571" s="148" t="s">
        <v>618</v>
      </c>
      <c r="D4571" s="148" t="s">
        <v>69</v>
      </c>
      <c r="E4571" s="148">
        <v>12224.99145299</v>
      </c>
      <c r="F4571" s="148" t="s">
        <v>37</v>
      </c>
    </row>
    <row r="4572" spans="1:6" ht="15.75">
      <c r="A4572" t="str">
        <f t="shared" si="71"/>
        <v>Saint-Barthélemy (VD)Autre agent énergétiqueECS</v>
      </c>
      <c r="C4572" s="148" t="s">
        <v>618</v>
      </c>
      <c r="D4572" s="148" t="s">
        <v>245</v>
      </c>
      <c r="E4572" s="148">
        <v>2464</v>
      </c>
      <c r="F4572" s="148" t="s">
        <v>37</v>
      </c>
    </row>
    <row r="4573" spans="1:6" ht="15.75">
      <c r="A4573" t="str">
        <f t="shared" si="71"/>
        <v>Saint-Barthélemy (VD)SolaireECS</v>
      </c>
      <c r="C4573" s="148" t="s">
        <v>618</v>
      </c>
      <c r="D4573" s="148" t="s">
        <v>240</v>
      </c>
      <c r="E4573" s="148">
        <v>136103.80000000005</v>
      </c>
      <c r="F4573" s="148" t="s">
        <v>37</v>
      </c>
    </row>
    <row r="4574" spans="1:6" ht="15.75">
      <c r="A4574" t="str">
        <f t="shared" si="71"/>
        <v>Saint-CergueAutre agent énergétiqueECS</v>
      </c>
      <c r="C4574" s="148" t="s">
        <v>559</v>
      </c>
      <c r="D4574" s="148" t="s">
        <v>245</v>
      </c>
      <c r="E4574" s="148">
        <v>5692.2352941199997</v>
      </c>
      <c r="F4574" s="148" t="s">
        <v>37</v>
      </c>
    </row>
    <row r="4575" spans="1:6" ht="15.75">
      <c r="A4575" t="str">
        <f t="shared" si="71"/>
        <v>Saint-CergueBoisECS</v>
      </c>
      <c r="C4575" s="148" t="s">
        <v>559</v>
      </c>
      <c r="D4575" s="148" t="s">
        <v>66</v>
      </c>
      <c r="E4575" s="148">
        <v>738788.8172549099</v>
      </c>
      <c r="F4575" s="148" t="s">
        <v>37</v>
      </c>
    </row>
    <row r="4576" spans="1:6" ht="15.75">
      <c r="A4576" t="str">
        <f t="shared" si="71"/>
        <v>Saint-CergueCADECS</v>
      </c>
      <c r="C4576" s="148" t="s">
        <v>559</v>
      </c>
      <c r="D4576" s="148" t="s">
        <v>242</v>
      </c>
      <c r="E4576" s="148">
        <v>34567.4</v>
      </c>
      <c r="F4576" s="148" t="s">
        <v>37</v>
      </c>
    </row>
    <row r="4577" spans="1:6" ht="15.75">
      <c r="A4577" t="str">
        <f t="shared" si="71"/>
        <v>Saint-CergueCharbonECS</v>
      </c>
      <c r="C4577" s="148" t="s">
        <v>559</v>
      </c>
      <c r="D4577" s="148" t="s">
        <v>695</v>
      </c>
      <c r="E4577" s="148" t="e">
        <v>#N/A</v>
      </c>
      <c r="F4577" s="148" t="s">
        <v>37</v>
      </c>
    </row>
    <row r="4578" spans="1:6" ht="15.75">
      <c r="A4578" t="str">
        <f t="shared" si="71"/>
        <v>Saint-CergueElectricitéECS</v>
      </c>
      <c r="C4578" s="148" t="s">
        <v>559</v>
      </c>
      <c r="D4578" s="148" t="s">
        <v>97</v>
      </c>
      <c r="E4578" s="148">
        <v>1883494.0444443212</v>
      </c>
      <c r="F4578" s="148" t="s">
        <v>37</v>
      </c>
    </row>
    <row r="4579" spans="1:6" ht="15.75">
      <c r="A4579" t="str">
        <f t="shared" si="71"/>
        <v>Saint-CergueGazECS</v>
      </c>
      <c r="C4579" s="148" t="s">
        <v>559</v>
      </c>
      <c r="D4579" s="148" t="s">
        <v>239</v>
      </c>
      <c r="E4579" s="148">
        <v>112384.58107416001</v>
      </c>
      <c r="F4579" s="148" t="s">
        <v>37</v>
      </c>
    </row>
    <row r="4580" spans="1:6" ht="15.75">
      <c r="A4580" t="str">
        <f t="shared" si="71"/>
        <v>Saint-CergueMazoutECS</v>
      </c>
      <c r="C4580" s="148" t="s">
        <v>559</v>
      </c>
      <c r="D4580" s="148" t="s">
        <v>70</v>
      </c>
      <c r="E4580" s="148">
        <v>861905.13368981029</v>
      </c>
      <c r="F4580" s="148" t="s">
        <v>37</v>
      </c>
    </row>
    <row r="4581" spans="1:6" ht="15.75">
      <c r="A4581" t="str">
        <f t="shared" si="71"/>
        <v>Saint-CergueNon renseignéECS</v>
      </c>
      <c r="C4581" s="148" t="s">
        <v>559</v>
      </c>
      <c r="D4581" s="148" t="s">
        <v>696</v>
      </c>
      <c r="E4581" s="148">
        <v>0</v>
      </c>
      <c r="F4581" s="148" t="s">
        <v>37</v>
      </c>
    </row>
    <row r="4582" spans="1:6" ht="15.75">
      <c r="A4582" t="str">
        <f t="shared" si="71"/>
        <v>Saint-CerguePACECS</v>
      </c>
      <c r="C4582" s="148" t="s">
        <v>559</v>
      </c>
      <c r="D4582" s="148" t="s">
        <v>69</v>
      </c>
      <c r="E4582" s="148">
        <v>55839.585284269997</v>
      </c>
      <c r="F4582" s="148" t="s">
        <v>37</v>
      </c>
    </row>
    <row r="4583" spans="1:6" ht="15.75">
      <c r="A4583" t="str">
        <f t="shared" si="71"/>
        <v>Saint-CergueSolaireECS</v>
      </c>
      <c r="C4583" s="148" t="s">
        <v>559</v>
      </c>
      <c r="D4583" s="148" t="s">
        <v>240</v>
      </c>
      <c r="E4583" s="148">
        <v>194845.42000000004</v>
      </c>
      <c r="F4583" s="148" t="s">
        <v>37</v>
      </c>
    </row>
    <row r="4584" spans="1:6" ht="15.75">
      <c r="A4584" t="str">
        <f t="shared" si="71"/>
        <v>Saint-GeorgeAutre agent énergétiqueECS</v>
      </c>
      <c r="C4584" s="148" t="s">
        <v>560</v>
      </c>
      <c r="D4584" s="148" t="s">
        <v>245</v>
      </c>
      <c r="E4584" s="148">
        <v>2806.5882352899998</v>
      </c>
      <c r="F4584" s="148" t="s">
        <v>37</v>
      </c>
    </row>
    <row r="4585" spans="1:6" ht="15.75">
      <c r="A4585" t="str">
        <f t="shared" si="71"/>
        <v>Saint-GeorgeBoisECS</v>
      </c>
      <c r="C4585" s="148" t="s">
        <v>560</v>
      </c>
      <c r="D4585" s="148" t="s">
        <v>66</v>
      </c>
      <c r="E4585" s="148">
        <v>239316.30745097995</v>
      </c>
      <c r="F4585" s="148" t="s">
        <v>37</v>
      </c>
    </row>
    <row r="4586" spans="1:6" ht="15.75">
      <c r="A4586" t="str">
        <f t="shared" si="71"/>
        <v>Saint-GeorgeCADECS</v>
      </c>
      <c r="C4586" s="148" t="s">
        <v>560</v>
      </c>
      <c r="D4586" s="148" t="s">
        <v>242</v>
      </c>
      <c r="E4586" s="148">
        <v>70718.200000000012</v>
      </c>
      <c r="F4586" s="148" t="s">
        <v>37</v>
      </c>
    </row>
    <row r="4587" spans="1:6" ht="15.75">
      <c r="A4587" t="str">
        <f t="shared" si="71"/>
        <v>Saint-GeorgeElectricitéECS</v>
      </c>
      <c r="C4587" s="148" t="s">
        <v>560</v>
      </c>
      <c r="D4587" s="148" t="s">
        <v>97</v>
      </c>
      <c r="E4587" s="148">
        <v>427149.33333333011</v>
      </c>
      <c r="F4587" s="148" t="s">
        <v>37</v>
      </c>
    </row>
    <row r="4588" spans="1:6" ht="15.75">
      <c r="A4588" t="str">
        <f t="shared" si="71"/>
        <v>Saint-GeorgeGazECS</v>
      </c>
      <c r="C4588" s="148" t="s">
        <v>560</v>
      </c>
      <c r="D4588" s="148" t="s">
        <v>239</v>
      </c>
      <c r="E4588" s="148">
        <v>73055.544757039999</v>
      </c>
      <c r="F4588" s="148" t="s">
        <v>37</v>
      </c>
    </row>
    <row r="4589" spans="1:6" ht="15.75">
      <c r="A4589" t="str">
        <f t="shared" si="71"/>
        <v>Saint-GeorgeMazoutECS</v>
      </c>
      <c r="C4589" s="148" t="s">
        <v>560</v>
      </c>
      <c r="D4589" s="148" t="s">
        <v>70</v>
      </c>
      <c r="E4589" s="148">
        <v>553946.72941177024</v>
      </c>
      <c r="F4589" s="148" t="s">
        <v>37</v>
      </c>
    </row>
    <row r="4590" spans="1:6" ht="15.75">
      <c r="A4590" t="str">
        <f t="shared" si="71"/>
        <v>Saint-GeorgeNon renseignéECS</v>
      </c>
      <c r="C4590" s="148" t="s">
        <v>560</v>
      </c>
      <c r="D4590" s="148" t="s">
        <v>696</v>
      </c>
      <c r="E4590" s="148">
        <v>0</v>
      </c>
      <c r="F4590" s="148" t="s">
        <v>37</v>
      </c>
    </row>
    <row r="4591" spans="1:6" ht="15.75">
      <c r="A4591" t="str">
        <f t="shared" si="71"/>
        <v>Saint-GeorgePACECS</v>
      </c>
      <c r="C4591" s="148" t="s">
        <v>560</v>
      </c>
      <c r="D4591" s="148" t="s">
        <v>69</v>
      </c>
      <c r="E4591" s="148">
        <v>50174.003963809999</v>
      </c>
      <c r="F4591" s="148" t="s">
        <v>37</v>
      </c>
    </row>
    <row r="4592" spans="1:6" ht="15.75">
      <c r="A4592" t="str">
        <f t="shared" si="71"/>
        <v>Saint-GeorgeSolaireECS</v>
      </c>
      <c r="C4592" s="148" t="s">
        <v>560</v>
      </c>
      <c r="D4592" s="148" t="s">
        <v>240</v>
      </c>
      <c r="E4592" s="148">
        <v>83115.200000000012</v>
      </c>
      <c r="F4592" s="148" t="s">
        <v>37</v>
      </c>
    </row>
    <row r="4593" spans="1:6" ht="15.75">
      <c r="A4593" t="str">
        <f t="shared" si="71"/>
        <v>Saint-Légier-La ChiésazAutre agent énergétiqueECS</v>
      </c>
      <c r="C4593" s="148" t="s">
        <v>617</v>
      </c>
      <c r="D4593" s="148" t="s">
        <v>245</v>
      </c>
      <c r="E4593" s="148">
        <v>606.11764705999997</v>
      </c>
      <c r="F4593" s="148" t="s">
        <v>37</v>
      </c>
    </row>
    <row r="4594" spans="1:6" ht="15.75">
      <c r="A4594" t="str">
        <f t="shared" si="71"/>
        <v>Saint-Légier-La ChiésazBoisECS</v>
      </c>
      <c r="C4594" s="148" t="s">
        <v>617</v>
      </c>
      <c r="D4594" s="148" t="s">
        <v>66</v>
      </c>
      <c r="E4594" s="148">
        <v>202079.84313724001</v>
      </c>
      <c r="F4594" s="148" t="s">
        <v>37</v>
      </c>
    </row>
    <row r="4595" spans="1:6" ht="15.75">
      <c r="A4595" t="str">
        <f t="shared" si="71"/>
        <v>Saint-Légier-La ChiésazCADECS</v>
      </c>
      <c r="C4595" s="148" t="s">
        <v>617</v>
      </c>
      <c r="D4595" s="148" t="s">
        <v>242</v>
      </c>
      <c r="E4595" s="148">
        <v>90634.6</v>
      </c>
      <c r="F4595" s="148" t="s">
        <v>37</v>
      </c>
    </row>
    <row r="4596" spans="1:6" ht="15.75">
      <c r="A4596" t="str">
        <f t="shared" si="71"/>
        <v>Saint-Légier-La ChiésazElectricitéECS</v>
      </c>
      <c r="C4596" s="148" t="s">
        <v>617</v>
      </c>
      <c r="D4596" s="148" t="s">
        <v>97</v>
      </c>
      <c r="E4596" s="148">
        <v>767395.37777772988</v>
      </c>
      <c r="F4596" s="148" t="s">
        <v>37</v>
      </c>
    </row>
    <row r="4597" spans="1:6" ht="15.75">
      <c r="A4597" t="str">
        <f t="shared" si="71"/>
        <v>Saint-Légier-La ChiésazGazECS</v>
      </c>
      <c r="C4597" s="148" t="s">
        <v>617</v>
      </c>
      <c r="D4597" s="148" t="s">
        <v>239</v>
      </c>
      <c r="E4597" s="148">
        <v>3966227.122761948</v>
      </c>
      <c r="F4597" s="148" t="s">
        <v>37</v>
      </c>
    </row>
    <row r="4598" spans="1:6" ht="15.75">
      <c r="A4598" t="str">
        <f t="shared" si="71"/>
        <v>Saint-Légier-La ChiésazMazoutECS</v>
      </c>
      <c r="C4598" s="148" t="s">
        <v>617</v>
      </c>
      <c r="D4598" s="148" t="s">
        <v>70</v>
      </c>
      <c r="E4598" s="148">
        <v>2510443.7647058424</v>
      </c>
      <c r="F4598" s="148" t="s">
        <v>37</v>
      </c>
    </row>
    <row r="4599" spans="1:6" ht="15.75">
      <c r="A4599" t="str">
        <f t="shared" si="71"/>
        <v>Saint-Légier-La ChiésazNon renseignéECS</v>
      </c>
      <c r="C4599" s="148" t="s">
        <v>617</v>
      </c>
      <c r="D4599" s="148" t="s">
        <v>696</v>
      </c>
      <c r="E4599" s="148">
        <v>0</v>
      </c>
      <c r="F4599" s="148" t="s">
        <v>37</v>
      </c>
    </row>
    <row r="4600" spans="1:6" ht="15.75">
      <c r="A4600" t="str">
        <f t="shared" si="71"/>
        <v>Saint-Légier-La ChiésazPACECS</v>
      </c>
      <c r="C4600" s="148" t="s">
        <v>617</v>
      </c>
      <c r="D4600" s="148" t="s">
        <v>69</v>
      </c>
      <c r="E4600" s="148">
        <v>52925.977703459983</v>
      </c>
      <c r="F4600" s="148" t="s">
        <v>37</v>
      </c>
    </row>
    <row r="4601" spans="1:6" ht="15.75">
      <c r="A4601" t="str">
        <f t="shared" si="71"/>
        <v>Saint-Légier-La ChiésazSolaireECS</v>
      </c>
      <c r="C4601" s="148" t="s">
        <v>617</v>
      </c>
      <c r="D4601" s="148" t="s">
        <v>240</v>
      </c>
      <c r="E4601" s="148">
        <v>363409.14615385002</v>
      </c>
      <c r="F4601" s="148" t="s">
        <v>37</v>
      </c>
    </row>
    <row r="4602" spans="1:6" ht="15.75">
      <c r="A4602" t="str">
        <f t="shared" si="71"/>
        <v>Saint-LivresBoisECS</v>
      </c>
      <c r="C4602" s="148" t="s">
        <v>561</v>
      </c>
      <c r="D4602" s="148" t="s">
        <v>66</v>
      </c>
      <c r="E4602" s="148">
        <v>133994.76862743997</v>
      </c>
      <c r="F4602" s="148" t="s">
        <v>37</v>
      </c>
    </row>
    <row r="4603" spans="1:6" ht="15.75">
      <c r="A4603" t="str">
        <f t="shared" si="71"/>
        <v>Saint-LivresElectricitéECS</v>
      </c>
      <c r="C4603" s="148" t="s">
        <v>561</v>
      </c>
      <c r="D4603" s="148" t="s">
        <v>97</v>
      </c>
      <c r="E4603" s="148">
        <v>261669.02222224997</v>
      </c>
      <c r="F4603" s="148" t="s">
        <v>37</v>
      </c>
    </row>
    <row r="4604" spans="1:6" ht="15.75">
      <c r="A4604" t="str">
        <f t="shared" si="71"/>
        <v>Saint-LivresGazECS</v>
      </c>
      <c r="C4604" s="148" t="s">
        <v>561</v>
      </c>
      <c r="D4604" s="148" t="s">
        <v>239</v>
      </c>
      <c r="E4604" s="148">
        <v>296374.50383634993</v>
      </c>
      <c r="F4604" s="148" t="s">
        <v>37</v>
      </c>
    </row>
    <row r="4605" spans="1:6" ht="15.75">
      <c r="A4605" t="str">
        <f t="shared" si="71"/>
        <v>Saint-LivresMazoutECS</v>
      </c>
      <c r="C4605" s="148" t="s">
        <v>561</v>
      </c>
      <c r="D4605" s="148" t="s">
        <v>70</v>
      </c>
      <c r="E4605" s="148">
        <v>188364.23529409</v>
      </c>
      <c r="F4605" s="148" t="s">
        <v>37</v>
      </c>
    </row>
    <row r="4606" spans="1:6" ht="15.75">
      <c r="A4606" t="str">
        <f t="shared" si="71"/>
        <v>Saint-LivresNon renseignéECS</v>
      </c>
      <c r="C4606" s="148" t="s">
        <v>561</v>
      </c>
      <c r="D4606" s="148" t="s">
        <v>696</v>
      </c>
      <c r="E4606" s="148">
        <v>0</v>
      </c>
      <c r="F4606" s="148" t="s">
        <v>37</v>
      </c>
    </row>
    <row r="4607" spans="1:6" ht="15.75">
      <c r="A4607" t="str">
        <f t="shared" si="71"/>
        <v>Saint-LivresPACECS</v>
      </c>
      <c r="C4607" s="148" t="s">
        <v>561</v>
      </c>
      <c r="D4607" s="148" t="s">
        <v>69</v>
      </c>
      <c r="E4607" s="148">
        <v>10163.55518395</v>
      </c>
      <c r="F4607" s="148" t="s">
        <v>37</v>
      </c>
    </row>
    <row r="4608" spans="1:6" ht="15.75">
      <c r="A4608" t="str">
        <f t="shared" si="71"/>
        <v>Saint-LivresSolaireECS</v>
      </c>
      <c r="C4608" s="148" t="s">
        <v>561</v>
      </c>
      <c r="D4608" s="148" t="s">
        <v>240</v>
      </c>
      <c r="E4608" s="148">
        <v>161112.69999999998</v>
      </c>
      <c r="F4608" s="148" t="s">
        <v>37</v>
      </c>
    </row>
    <row r="4609" spans="1:6" ht="15.75">
      <c r="A4609" t="str">
        <f t="shared" si="71"/>
        <v>Saint-OyensBoisECS</v>
      </c>
      <c r="C4609" s="148" t="s">
        <v>562</v>
      </c>
      <c r="D4609" s="148" t="s">
        <v>66</v>
      </c>
      <c r="E4609" s="148">
        <v>86132.172549030016</v>
      </c>
      <c r="F4609" s="148" t="s">
        <v>37</v>
      </c>
    </row>
    <row r="4610" spans="1:6" ht="15.75">
      <c r="A4610" t="str">
        <f t="shared" si="71"/>
        <v>Saint-OyensCADECS</v>
      </c>
      <c r="C4610" s="148" t="s">
        <v>562</v>
      </c>
      <c r="D4610" s="148" t="s">
        <v>242</v>
      </c>
      <c r="E4610" s="148">
        <v>5577.6</v>
      </c>
      <c r="F4610" s="148" t="s">
        <v>37</v>
      </c>
    </row>
    <row r="4611" spans="1:6" ht="15.75">
      <c r="A4611" t="str">
        <f t="shared" si="71"/>
        <v>Saint-OyensElectricitéECS</v>
      </c>
      <c r="C4611" s="148" t="s">
        <v>562</v>
      </c>
      <c r="D4611" s="148" t="s">
        <v>97</v>
      </c>
      <c r="E4611" s="148">
        <v>55561.333333330003</v>
      </c>
      <c r="F4611" s="148" t="s">
        <v>37</v>
      </c>
    </row>
    <row r="4612" spans="1:6" ht="15.75">
      <c r="A4612" t="str">
        <f t="shared" si="71"/>
        <v>Saint-OyensGazECS</v>
      </c>
      <c r="C4612" s="148" t="s">
        <v>562</v>
      </c>
      <c r="D4612" s="148" t="s">
        <v>239</v>
      </c>
      <c r="E4612" s="148">
        <v>28036.521739150001</v>
      </c>
      <c r="F4612" s="148" t="s">
        <v>37</v>
      </c>
    </row>
    <row r="4613" spans="1:6" ht="15.75">
      <c r="A4613" t="str">
        <f t="shared" si="71"/>
        <v>Saint-OyensMazoutECS</v>
      </c>
      <c r="C4613" s="148" t="s">
        <v>562</v>
      </c>
      <c r="D4613" s="148" t="s">
        <v>70</v>
      </c>
      <c r="E4613" s="148">
        <v>227099.76470585007</v>
      </c>
      <c r="F4613" s="148" t="s">
        <v>37</v>
      </c>
    </row>
    <row r="4614" spans="1:6" ht="15.75">
      <c r="A4614" t="str">
        <f t="shared" si="71"/>
        <v>Saint-OyensNon renseignéECS</v>
      </c>
      <c r="C4614" s="148" t="s">
        <v>562</v>
      </c>
      <c r="D4614" s="148" t="s">
        <v>696</v>
      </c>
      <c r="E4614" s="148">
        <v>0</v>
      </c>
      <c r="F4614" s="148" t="s">
        <v>37</v>
      </c>
    </row>
    <row r="4615" spans="1:6" ht="15.75">
      <c r="A4615" t="str">
        <f t="shared" si="71"/>
        <v>Saint-OyensPACECS</v>
      </c>
      <c r="C4615" s="148" t="s">
        <v>562</v>
      </c>
      <c r="D4615" s="148" t="s">
        <v>69</v>
      </c>
      <c r="E4615" s="148">
        <v>32750.392666889995</v>
      </c>
      <c r="F4615" s="148" t="s">
        <v>37</v>
      </c>
    </row>
    <row r="4616" spans="1:6" ht="15.75">
      <c r="A4616" t="str">
        <f t="shared" si="71"/>
        <v>Saint-OyensSolaireECS</v>
      </c>
      <c r="C4616" s="148" t="s">
        <v>562</v>
      </c>
      <c r="D4616" s="148" t="s">
        <v>240</v>
      </c>
      <c r="E4616" s="148">
        <v>86921.799999999974</v>
      </c>
      <c r="F4616" s="148" t="s">
        <v>37</v>
      </c>
    </row>
    <row r="4617" spans="1:6" ht="15.75">
      <c r="A4617" t="str">
        <f t="shared" si="71"/>
        <v>Saint-PrexAutre agent énergétiqueECS</v>
      </c>
      <c r="C4617" s="148" t="s">
        <v>563</v>
      </c>
      <c r="D4617" s="148" t="s">
        <v>245</v>
      </c>
      <c r="E4617" s="148">
        <v>3577.4117647100002</v>
      </c>
      <c r="F4617" s="148" t="s">
        <v>37</v>
      </c>
    </row>
    <row r="4618" spans="1:6" ht="15.75">
      <c r="A4618" t="str">
        <f t="shared" si="71"/>
        <v>Saint-PrexBoisECS</v>
      </c>
      <c r="C4618" s="148" t="s">
        <v>563</v>
      </c>
      <c r="D4618" s="148" t="s">
        <v>66</v>
      </c>
      <c r="E4618" s="148">
        <v>329876.64941178</v>
      </c>
      <c r="F4618" s="148" t="s">
        <v>37</v>
      </c>
    </row>
    <row r="4619" spans="1:6" ht="15.75">
      <c r="A4619" t="str">
        <f t="shared" si="71"/>
        <v>Saint-PrexCADECS</v>
      </c>
      <c r="C4619" s="148" t="s">
        <v>563</v>
      </c>
      <c r="D4619" s="148" t="s">
        <v>242</v>
      </c>
      <c r="E4619" s="148">
        <v>440228</v>
      </c>
      <c r="F4619" s="148" t="s">
        <v>37</v>
      </c>
    </row>
    <row r="4620" spans="1:6" ht="15.75">
      <c r="A4620" t="str">
        <f t="shared" si="71"/>
        <v>Saint-PrexElectricitéECS</v>
      </c>
      <c r="C4620" s="148" t="s">
        <v>563</v>
      </c>
      <c r="D4620" s="148" t="s">
        <v>97</v>
      </c>
      <c r="E4620" s="148">
        <v>539106.08888892981</v>
      </c>
      <c r="F4620" s="148" t="s">
        <v>37</v>
      </c>
    </row>
    <row r="4621" spans="1:6" ht="15.75">
      <c r="A4621" t="str">
        <f t="shared" si="71"/>
        <v>Saint-PrexGazECS</v>
      </c>
      <c r="C4621" s="148" t="s">
        <v>563</v>
      </c>
      <c r="D4621" s="148" t="s">
        <v>239</v>
      </c>
      <c r="E4621" s="148">
        <v>3438558.1713554994</v>
      </c>
      <c r="F4621" s="148" t="s">
        <v>37</v>
      </c>
    </row>
    <row r="4622" spans="1:6" ht="15.75">
      <c r="A4622" t="str">
        <f t="shared" si="71"/>
        <v>Saint-PrexMazoutECS</v>
      </c>
      <c r="C4622" s="148" t="s">
        <v>563</v>
      </c>
      <c r="D4622" s="148" t="s">
        <v>70</v>
      </c>
      <c r="E4622" s="148">
        <v>2527983.1294116909</v>
      </c>
      <c r="F4622" s="148" t="s">
        <v>37</v>
      </c>
    </row>
    <row r="4623" spans="1:6" ht="15.75">
      <c r="A4623" t="str">
        <f t="shared" si="71"/>
        <v>Saint-PrexNon renseignéECS</v>
      </c>
      <c r="C4623" s="148" t="s">
        <v>563</v>
      </c>
      <c r="D4623" s="148" t="s">
        <v>696</v>
      </c>
      <c r="E4623" s="148">
        <v>0</v>
      </c>
      <c r="F4623" s="148" t="s">
        <v>37</v>
      </c>
    </row>
    <row r="4624" spans="1:6" ht="15.75">
      <c r="A4624" t="str">
        <f t="shared" si="71"/>
        <v>Saint-PrexPACECS</v>
      </c>
      <c r="C4624" s="148" t="s">
        <v>563</v>
      </c>
      <c r="D4624" s="148" t="s">
        <v>69</v>
      </c>
      <c r="E4624" s="148">
        <v>182012.20322063001</v>
      </c>
      <c r="F4624" s="148" t="s">
        <v>37</v>
      </c>
    </row>
    <row r="4625" spans="1:6" ht="15.75">
      <c r="A4625" t="str">
        <f t="shared" si="71"/>
        <v>Saint-PrexSolaireECS</v>
      </c>
      <c r="C4625" s="148" t="s">
        <v>563</v>
      </c>
      <c r="D4625" s="148" t="s">
        <v>240</v>
      </c>
      <c r="E4625" s="148">
        <v>528339.28000000014</v>
      </c>
      <c r="F4625" s="148" t="s">
        <v>37</v>
      </c>
    </row>
    <row r="4626" spans="1:6" ht="15.75">
      <c r="A4626" t="str">
        <f t="shared" si="71"/>
        <v>Saint-Saphorin (Lavaux)Autre agent énergétiqueECS</v>
      </c>
      <c r="C4626" s="148" t="s">
        <v>564</v>
      </c>
      <c r="D4626" s="148" t="s">
        <v>245</v>
      </c>
      <c r="E4626" s="148">
        <v>632.47058823999998</v>
      </c>
      <c r="F4626" s="148" t="s">
        <v>37</v>
      </c>
    </row>
    <row r="4627" spans="1:6" ht="15.75">
      <c r="A4627" t="str">
        <f t="shared" ref="A4627:A4690" si="72">_xlfn.CONCAT(C4627,D4627,F4627)</f>
        <v>Saint-Saphorin (Lavaux)BoisECS</v>
      </c>
      <c r="C4627" s="148" t="s">
        <v>564</v>
      </c>
      <c r="D4627" s="148" t="s">
        <v>66</v>
      </c>
      <c r="E4627" s="148">
        <v>5484.2666666700006</v>
      </c>
      <c r="F4627" s="148" t="s">
        <v>37</v>
      </c>
    </row>
    <row r="4628" spans="1:6" ht="15.75">
      <c r="A4628" t="str">
        <f t="shared" si="72"/>
        <v>Saint-Saphorin (Lavaux)ElectricitéECS</v>
      </c>
      <c r="C4628" s="148" t="s">
        <v>564</v>
      </c>
      <c r="D4628" s="148" t="s">
        <v>97</v>
      </c>
      <c r="E4628" s="148">
        <v>77161.777777790005</v>
      </c>
      <c r="F4628" s="148" t="s">
        <v>37</v>
      </c>
    </row>
    <row r="4629" spans="1:6" ht="15.75">
      <c r="A4629" t="str">
        <f t="shared" si="72"/>
        <v>Saint-Saphorin (Lavaux)GazECS</v>
      </c>
      <c r="C4629" s="148" t="s">
        <v>564</v>
      </c>
      <c r="D4629" s="148" t="s">
        <v>239</v>
      </c>
      <c r="E4629" s="148">
        <v>321211.95396417996</v>
      </c>
      <c r="F4629" s="148" t="s">
        <v>37</v>
      </c>
    </row>
    <row r="4630" spans="1:6" ht="15.75">
      <c r="A4630" t="str">
        <f t="shared" si="72"/>
        <v>Saint-Saphorin (Lavaux)MazoutECS</v>
      </c>
      <c r="C4630" s="148" t="s">
        <v>564</v>
      </c>
      <c r="D4630" s="148" t="s">
        <v>70</v>
      </c>
      <c r="E4630" s="148">
        <v>268114.82352942001</v>
      </c>
      <c r="F4630" s="148" t="s">
        <v>37</v>
      </c>
    </row>
    <row r="4631" spans="1:6" ht="15.75">
      <c r="A4631" t="str">
        <f t="shared" si="72"/>
        <v>Saint-Saphorin (Lavaux)PACECS</v>
      </c>
      <c r="C4631" s="148" t="s">
        <v>564</v>
      </c>
      <c r="D4631" s="148" t="s">
        <v>69</v>
      </c>
      <c r="E4631" s="148" t="e">
        <v>#N/A</v>
      </c>
      <c r="F4631" s="148" t="s">
        <v>37</v>
      </c>
    </row>
    <row r="4632" spans="1:6" ht="15.75">
      <c r="A4632" t="str">
        <f t="shared" si="72"/>
        <v>Saint-Saphorin (Lavaux)SolaireECS</v>
      </c>
      <c r="C4632" s="148" t="s">
        <v>564</v>
      </c>
      <c r="D4632" s="148" t="s">
        <v>240</v>
      </c>
      <c r="E4632" s="148">
        <v>18611.599999999999</v>
      </c>
      <c r="F4632" s="148" t="s">
        <v>37</v>
      </c>
    </row>
    <row r="4633" spans="1:6" ht="15.75">
      <c r="A4633" t="str">
        <f t="shared" si="72"/>
        <v>Saint-Sulpice (VD)BoisECS</v>
      </c>
      <c r="C4633" s="148" t="s">
        <v>693</v>
      </c>
      <c r="D4633" s="148" t="s">
        <v>66</v>
      </c>
      <c r="E4633" s="148">
        <v>346338.91764706001</v>
      </c>
      <c r="F4633" s="148" t="s">
        <v>37</v>
      </c>
    </row>
    <row r="4634" spans="1:6" ht="15.75">
      <c r="A4634" t="str">
        <f t="shared" si="72"/>
        <v>Saint-Sulpice (VD)CADECS</v>
      </c>
      <c r="C4634" s="148" t="s">
        <v>693</v>
      </c>
      <c r="D4634" s="148" t="s">
        <v>242</v>
      </c>
      <c r="E4634" s="148">
        <v>316546.40000000002</v>
      </c>
      <c r="F4634" s="148" t="s">
        <v>37</v>
      </c>
    </row>
    <row r="4635" spans="1:6" ht="15.75">
      <c r="A4635" t="str">
        <f t="shared" si="72"/>
        <v>Saint-Sulpice (VD)ElectricitéECS</v>
      </c>
      <c r="C4635" s="148" t="s">
        <v>693</v>
      </c>
      <c r="D4635" s="148" t="s">
        <v>97</v>
      </c>
      <c r="E4635" s="148">
        <v>518466.88888891996</v>
      </c>
      <c r="F4635" s="148" t="s">
        <v>37</v>
      </c>
    </row>
    <row r="4636" spans="1:6" ht="15.75">
      <c r="A4636" t="str">
        <f t="shared" si="72"/>
        <v>Saint-Sulpice (VD)GazECS</v>
      </c>
      <c r="C4636" s="148" t="s">
        <v>693</v>
      </c>
      <c r="D4636" s="148" t="s">
        <v>239</v>
      </c>
      <c r="E4636" s="148">
        <v>2882657.8132993006</v>
      </c>
      <c r="F4636" s="148" t="s">
        <v>37</v>
      </c>
    </row>
    <row r="4637" spans="1:6" ht="15.75">
      <c r="A4637" t="str">
        <f t="shared" si="72"/>
        <v>Saint-Sulpice (VD)MazoutECS</v>
      </c>
      <c r="C4637" s="148" t="s">
        <v>693</v>
      </c>
      <c r="D4637" s="148" t="s">
        <v>70</v>
      </c>
      <c r="E4637" s="148">
        <v>1481949.4117646394</v>
      </c>
      <c r="F4637" s="148" t="s">
        <v>37</v>
      </c>
    </row>
    <row r="4638" spans="1:6" ht="15.75">
      <c r="A4638" t="str">
        <f t="shared" si="72"/>
        <v>Saint-Sulpice (VD)Non renseignéECS</v>
      </c>
      <c r="C4638" s="148" t="s">
        <v>693</v>
      </c>
      <c r="D4638" s="148" t="s">
        <v>696</v>
      </c>
      <c r="E4638" s="148">
        <v>0</v>
      </c>
      <c r="F4638" s="148" t="s">
        <v>37</v>
      </c>
    </row>
    <row r="4639" spans="1:6" ht="15.75">
      <c r="A4639" t="str">
        <f t="shared" si="72"/>
        <v>Saint-Sulpice (VD)PACECS</v>
      </c>
      <c r="C4639" s="148" t="s">
        <v>693</v>
      </c>
      <c r="D4639" s="148" t="s">
        <v>69</v>
      </c>
      <c r="E4639" s="148">
        <v>171391.27238946001</v>
      </c>
      <c r="F4639" s="148" t="s">
        <v>37</v>
      </c>
    </row>
    <row r="4640" spans="1:6" ht="15.75">
      <c r="A4640" t="str">
        <f t="shared" si="72"/>
        <v>Saint-Sulpice (VD)Autre agent énergétiqueECS</v>
      </c>
      <c r="C4640" s="148" t="s">
        <v>693</v>
      </c>
      <c r="D4640" s="148" t="s">
        <v>245</v>
      </c>
      <c r="E4640" s="148">
        <v>8012.9411764699998</v>
      </c>
      <c r="F4640" s="148" t="s">
        <v>37</v>
      </c>
    </row>
    <row r="4641" spans="1:6" ht="15.75">
      <c r="A4641" t="str">
        <f t="shared" si="72"/>
        <v>Saint-Sulpice (VD)SolaireECS</v>
      </c>
      <c r="C4641" s="148" t="s">
        <v>693</v>
      </c>
      <c r="D4641" s="148" t="s">
        <v>240</v>
      </c>
      <c r="E4641" s="148">
        <v>548063.59999999986</v>
      </c>
      <c r="F4641" s="148" t="s">
        <v>37</v>
      </c>
    </row>
    <row r="4642" spans="1:6" ht="15.75">
      <c r="A4642" t="str">
        <f t="shared" si="72"/>
        <v>Sainte-CroixBoisECS</v>
      </c>
      <c r="C4642" s="148" t="s">
        <v>565</v>
      </c>
      <c r="D4642" s="148" t="s">
        <v>66</v>
      </c>
      <c r="E4642" s="148">
        <v>595813.04313726979</v>
      </c>
      <c r="F4642" s="148" t="s">
        <v>37</v>
      </c>
    </row>
    <row r="4643" spans="1:6" ht="15.75">
      <c r="A4643" t="str">
        <f t="shared" si="72"/>
        <v>Sainte-CroixCADECS</v>
      </c>
      <c r="C4643" s="148" t="s">
        <v>565</v>
      </c>
      <c r="D4643" s="148" t="s">
        <v>242</v>
      </c>
      <c r="E4643" s="148">
        <v>86872.8</v>
      </c>
      <c r="F4643" s="148" t="s">
        <v>37</v>
      </c>
    </row>
    <row r="4644" spans="1:6" ht="15.75">
      <c r="A4644" t="str">
        <f t="shared" si="72"/>
        <v>Sainte-CroixElectricitéECS</v>
      </c>
      <c r="C4644" s="148" t="s">
        <v>565</v>
      </c>
      <c r="D4644" s="148" t="s">
        <v>97</v>
      </c>
      <c r="E4644" s="148">
        <v>1847895.7777777596</v>
      </c>
      <c r="F4644" s="148" t="s">
        <v>37</v>
      </c>
    </row>
    <row r="4645" spans="1:6" ht="15.75">
      <c r="A4645" t="str">
        <f t="shared" si="72"/>
        <v>Sainte-CroixGazECS</v>
      </c>
      <c r="C4645" s="148" t="s">
        <v>565</v>
      </c>
      <c r="D4645" s="148" t="s">
        <v>239</v>
      </c>
      <c r="E4645" s="148">
        <v>3656313.0792839509</v>
      </c>
      <c r="F4645" s="148" t="s">
        <v>37</v>
      </c>
    </row>
    <row r="4646" spans="1:6" ht="15.75">
      <c r="A4646" t="str">
        <f t="shared" si="72"/>
        <v>Sainte-CroixMazoutECS</v>
      </c>
      <c r="C4646" s="148" t="s">
        <v>565</v>
      </c>
      <c r="D4646" s="148" t="s">
        <v>70</v>
      </c>
      <c r="E4646" s="148">
        <v>2967218.0588235287</v>
      </c>
      <c r="F4646" s="148" t="s">
        <v>37</v>
      </c>
    </row>
    <row r="4647" spans="1:6" ht="15.75">
      <c r="A4647" t="str">
        <f t="shared" si="72"/>
        <v>Sainte-CroixNon renseignéECS</v>
      </c>
      <c r="C4647" s="148" t="s">
        <v>565</v>
      </c>
      <c r="D4647" s="148" t="s">
        <v>696</v>
      </c>
      <c r="E4647" s="148">
        <v>0</v>
      </c>
      <c r="F4647" s="148" t="s">
        <v>37</v>
      </c>
    </row>
    <row r="4648" spans="1:6" ht="15.75">
      <c r="A4648" t="str">
        <f t="shared" si="72"/>
        <v>Sainte-CroixPACECS</v>
      </c>
      <c r="C4648" s="148" t="s">
        <v>565</v>
      </c>
      <c r="D4648" s="148" t="s">
        <v>69</v>
      </c>
      <c r="E4648" s="148">
        <v>20766.316363189999</v>
      </c>
      <c r="F4648" s="148" t="s">
        <v>37</v>
      </c>
    </row>
    <row r="4649" spans="1:6" ht="15.75">
      <c r="A4649" t="str">
        <f t="shared" si="72"/>
        <v>Sainte-CroixSolaireECS</v>
      </c>
      <c r="C4649" s="148" t="s">
        <v>565</v>
      </c>
      <c r="D4649" s="148" t="s">
        <v>240</v>
      </c>
      <c r="E4649" s="148">
        <v>388670.80000000022</v>
      </c>
      <c r="F4649" s="148" t="s">
        <v>37</v>
      </c>
    </row>
    <row r="4650" spans="1:6" ht="15.75">
      <c r="A4650" t="str">
        <f t="shared" si="72"/>
        <v>SaubrazBoisECS</v>
      </c>
      <c r="C4650" s="148" t="s">
        <v>566</v>
      </c>
      <c r="D4650" s="148" t="s">
        <v>66</v>
      </c>
      <c r="E4650" s="148">
        <v>29582.933333330002</v>
      </c>
      <c r="F4650" s="148" t="s">
        <v>37</v>
      </c>
    </row>
    <row r="4651" spans="1:6" ht="15.75">
      <c r="A4651" t="str">
        <f t="shared" si="72"/>
        <v>SaubrazElectricitéECS</v>
      </c>
      <c r="C4651" s="148" t="s">
        <v>566</v>
      </c>
      <c r="D4651" s="148" t="s">
        <v>97</v>
      </c>
      <c r="E4651" s="148">
        <v>138142.35555553998</v>
      </c>
      <c r="F4651" s="148" t="s">
        <v>37</v>
      </c>
    </row>
    <row r="4652" spans="1:6" ht="15.75">
      <c r="A4652" t="str">
        <f t="shared" si="72"/>
        <v>SaubrazGazECS</v>
      </c>
      <c r="C4652" s="148" t="s">
        <v>566</v>
      </c>
      <c r="D4652" s="148" t="s">
        <v>239</v>
      </c>
      <c r="E4652" s="148">
        <v>156311.93350384003</v>
      </c>
      <c r="F4652" s="148" t="s">
        <v>37</v>
      </c>
    </row>
    <row r="4653" spans="1:6" ht="15.75">
      <c r="A4653" t="str">
        <f t="shared" si="72"/>
        <v>SaubrazMazoutECS</v>
      </c>
      <c r="C4653" s="148" t="s">
        <v>566</v>
      </c>
      <c r="D4653" s="148" t="s">
        <v>70</v>
      </c>
      <c r="E4653" s="148">
        <v>193340.00000000003</v>
      </c>
      <c r="F4653" s="148" t="s">
        <v>37</v>
      </c>
    </row>
    <row r="4654" spans="1:6" ht="15.75">
      <c r="A4654" t="str">
        <f t="shared" si="72"/>
        <v>SaubrazNon renseignéECS</v>
      </c>
      <c r="C4654" s="148" t="s">
        <v>566</v>
      </c>
      <c r="D4654" s="148" t="s">
        <v>696</v>
      </c>
      <c r="E4654" s="148">
        <v>0</v>
      </c>
      <c r="F4654" s="148" t="s">
        <v>37</v>
      </c>
    </row>
    <row r="4655" spans="1:6" ht="15.75">
      <c r="A4655" t="str">
        <f t="shared" si="72"/>
        <v>SaubrazPACECS</v>
      </c>
      <c r="C4655" s="148" t="s">
        <v>566</v>
      </c>
      <c r="D4655" s="148" t="s">
        <v>69</v>
      </c>
      <c r="E4655" s="148">
        <v>7630.56360709</v>
      </c>
      <c r="F4655" s="148" t="s">
        <v>37</v>
      </c>
    </row>
    <row r="4656" spans="1:6" ht="15.75">
      <c r="A4656" t="str">
        <f t="shared" si="72"/>
        <v>SaubrazSolaireECS</v>
      </c>
      <c r="C4656" s="148" t="s">
        <v>566</v>
      </c>
      <c r="D4656" s="148" t="s">
        <v>240</v>
      </c>
      <c r="E4656" s="148">
        <v>25866.399999999998</v>
      </c>
      <c r="F4656" s="148" t="s">
        <v>37</v>
      </c>
    </row>
    <row r="4657" spans="1:6" ht="15.75">
      <c r="A4657" t="str">
        <f t="shared" si="72"/>
        <v>SavignyAutre agent énergétiqueECS</v>
      </c>
      <c r="C4657" s="148" t="s">
        <v>567</v>
      </c>
      <c r="D4657" s="148" t="s">
        <v>245</v>
      </c>
      <c r="E4657" s="148" t="e">
        <v>#N/A</v>
      </c>
      <c r="F4657" s="148" t="s">
        <v>37</v>
      </c>
    </row>
    <row r="4658" spans="1:6" ht="15.75">
      <c r="A4658" t="str">
        <f t="shared" si="72"/>
        <v>SavignyBoisECS</v>
      </c>
      <c r="C4658" s="148" t="s">
        <v>567</v>
      </c>
      <c r="D4658" s="148" t="s">
        <v>66</v>
      </c>
      <c r="E4658" s="148">
        <v>226480.75607842</v>
      </c>
      <c r="F4658" s="148" t="s">
        <v>37</v>
      </c>
    </row>
    <row r="4659" spans="1:6" ht="15.75">
      <c r="A4659" t="str">
        <f t="shared" si="72"/>
        <v>SavignyCADECS</v>
      </c>
      <c r="C4659" s="148" t="s">
        <v>567</v>
      </c>
      <c r="D4659" s="148" t="s">
        <v>242</v>
      </c>
      <c r="E4659" s="148">
        <v>40661.600000000006</v>
      </c>
      <c r="F4659" s="148" t="s">
        <v>37</v>
      </c>
    </row>
    <row r="4660" spans="1:6" ht="15.75">
      <c r="A4660" t="str">
        <f t="shared" si="72"/>
        <v>SavignyElectricitéECS</v>
      </c>
      <c r="C4660" s="148" t="s">
        <v>567</v>
      </c>
      <c r="D4660" s="148" t="s">
        <v>97</v>
      </c>
      <c r="E4660" s="148">
        <v>1653028.8444444195</v>
      </c>
      <c r="F4660" s="148" t="s">
        <v>37</v>
      </c>
    </row>
    <row r="4661" spans="1:6" ht="15.75">
      <c r="A4661" t="str">
        <f t="shared" si="72"/>
        <v>SavignyGazECS</v>
      </c>
      <c r="C4661" s="148" t="s">
        <v>567</v>
      </c>
      <c r="D4661" s="148" t="s">
        <v>239</v>
      </c>
      <c r="E4661" s="148">
        <v>290892.97749368998</v>
      </c>
      <c r="F4661" s="148" t="s">
        <v>37</v>
      </c>
    </row>
    <row r="4662" spans="1:6" ht="15.75">
      <c r="A4662" t="str">
        <f t="shared" si="72"/>
        <v>SavignyMazoutECS</v>
      </c>
      <c r="C4662" s="148" t="s">
        <v>567</v>
      </c>
      <c r="D4662" s="148" t="s">
        <v>70</v>
      </c>
      <c r="E4662" s="148">
        <v>3008932.7358288784</v>
      </c>
      <c r="F4662" s="148" t="s">
        <v>37</v>
      </c>
    </row>
    <row r="4663" spans="1:6" ht="15.75">
      <c r="A4663" t="str">
        <f t="shared" si="72"/>
        <v>SavignyNon renseignéECS</v>
      </c>
      <c r="C4663" s="148" t="s">
        <v>567</v>
      </c>
      <c r="D4663" s="148" t="s">
        <v>696</v>
      </c>
      <c r="E4663" s="148">
        <v>0</v>
      </c>
      <c r="F4663" s="148" t="s">
        <v>37</v>
      </c>
    </row>
    <row r="4664" spans="1:6" ht="15.75">
      <c r="A4664" t="str">
        <f t="shared" si="72"/>
        <v>SavignyPACECS</v>
      </c>
      <c r="C4664" s="148" t="s">
        <v>567</v>
      </c>
      <c r="D4664" s="148" t="s">
        <v>69</v>
      </c>
      <c r="E4664" s="148">
        <v>95005.424625340005</v>
      </c>
      <c r="F4664" s="148" t="s">
        <v>37</v>
      </c>
    </row>
    <row r="4665" spans="1:6" ht="15.75">
      <c r="A4665" t="str">
        <f t="shared" si="72"/>
        <v>SavignySolaireECS</v>
      </c>
      <c r="C4665" s="148" t="s">
        <v>567</v>
      </c>
      <c r="D4665" s="148" t="s">
        <v>240</v>
      </c>
      <c r="E4665" s="148">
        <v>222128.47999999998</v>
      </c>
      <c r="F4665" s="148" t="s">
        <v>37</v>
      </c>
    </row>
    <row r="4666" spans="1:6" ht="15.75">
      <c r="A4666" t="str">
        <f t="shared" si="72"/>
        <v>SenarclensBoisECS</v>
      </c>
      <c r="C4666" s="148" t="s">
        <v>568</v>
      </c>
      <c r="D4666" s="148" t="s">
        <v>66</v>
      </c>
      <c r="E4666" s="148">
        <v>36498.823529410001</v>
      </c>
      <c r="F4666" s="148" t="s">
        <v>37</v>
      </c>
    </row>
    <row r="4667" spans="1:6" ht="15.75">
      <c r="A4667" t="str">
        <f t="shared" si="72"/>
        <v>SenarclensElectricitéECS</v>
      </c>
      <c r="C4667" s="148" t="s">
        <v>568</v>
      </c>
      <c r="D4667" s="148" t="s">
        <v>97</v>
      </c>
      <c r="E4667" s="148">
        <v>137938.88888889001</v>
      </c>
      <c r="F4667" s="148" t="s">
        <v>37</v>
      </c>
    </row>
    <row r="4668" spans="1:6" ht="15.75">
      <c r="A4668" t="str">
        <f t="shared" si="72"/>
        <v>SenarclensGazECS</v>
      </c>
      <c r="C4668" s="148" t="s">
        <v>568</v>
      </c>
      <c r="D4668" s="148" t="s">
        <v>239</v>
      </c>
      <c r="E4668" s="148">
        <v>298192.62404094008</v>
      </c>
      <c r="F4668" s="148" t="s">
        <v>37</v>
      </c>
    </row>
    <row r="4669" spans="1:6" ht="15.75">
      <c r="A4669" t="str">
        <f t="shared" si="72"/>
        <v>SenarclensMazoutECS</v>
      </c>
      <c r="C4669" s="148" t="s">
        <v>568</v>
      </c>
      <c r="D4669" s="148" t="s">
        <v>70</v>
      </c>
      <c r="E4669" s="148">
        <v>331073.64705880015</v>
      </c>
      <c r="F4669" s="148" t="s">
        <v>37</v>
      </c>
    </row>
    <row r="4670" spans="1:6" ht="15.75">
      <c r="A4670" t="str">
        <f t="shared" si="72"/>
        <v>SenarclensNon renseignéECS</v>
      </c>
      <c r="C4670" s="148" t="s">
        <v>568</v>
      </c>
      <c r="D4670" s="148" t="s">
        <v>696</v>
      </c>
      <c r="E4670" s="148">
        <v>0</v>
      </c>
      <c r="F4670" s="148" t="s">
        <v>37</v>
      </c>
    </row>
    <row r="4671" spans="1:6" ht="15.75">
      <c r="A4671" t="str">
        <f t="shared" si="72"/>
        <v>SenarclensPACECS</v>
      </c>
      <c r="C4671" s="148" t="s">
        <v>568</v>
      </c>
      <c r="D4671" s="148" t="s">
        <v>69</v>
      </c>
      <c r="E4671" s="148">
        <v>5988.9409141699998</v>
      </c>
      <c r="F4671" s="148" t="s">
        <v>37</v>
      </c>
    </row>
    <row r="4672" spans="1:6" ht="15.75">
      <c r="A4672" t="str">
        <f t="shared" si="72"/>
        <v>SenarclensSolaireECS</v>
      </c>
      <c r="C4672" s="148" t="s">
        <v>568</v>
      </c>
      <c r="D4672" s="148" t="s">
        <v>240</v>
      </c>
      <c r="E4672" s="148">
        <v>85577.520000000019</v>
      </c>
      <c r="F4672" s="148" t="s">
        <v>37</v>
      </c>
    </row>
    <row r="4673" spans="1:6" ht="15.75">
      <c r="A4673" t="str">
        <f t="shared" si="72"/>
        <v>SergeyBoisECS</v>
      </c>
      <c r="C4673" s="148" t="s">
        <v>569</v>
      </c>
      <c r="D4673" s="148" t="s">
        <v>66</v>
      </c>
      <c r="E4673" s="148">
        <v>91003.733333339987</v>
      </c>
      <c r="F4673" s="148" t="s">
        <v>37</v>
      </c>
    </row>
    <row r="4674" spans="1:6" ht="15.75">
      <c r="A4674" t="str">
        <f t="shared" si="72"/>
        <v>SergeyCADECS</v>
      </c>
      <c r="C4674" s="148" t="s">
        <v>569</v>
      </c>
      <c r="D4674" s="148" t="s">
        <v>242</v>
      </c>
      <c r="E4674" s="148">
        <v>1948.8</v>
      </c>
      <c r="F4674" s="148" t="s">
        <v>37</v>
      </c>
    </row>
    <row r="4675" spans="1:6" ht="15.75">
      <c r="A4675" t="str">
        <f t="shared" si="72"/>
        <v>SergeyElectricitéECS</v>
      </c>
      <c r="C4675" s="148" t="s">
        <v>569</v>
      </c>
      <c r="D4675" s="148" t="s">
        <v>97</v>
      </c>
      <c r="E4675" s="148">
        <v>36449.77777778</v>
      </c>
      <c r="F4675" s="148" t="s">
        <v>37</v>
      </c>
    </row>
    <row r="4676" spans="1:6" ht="15.75">
      <c r="A4676" t="str">
        <f t="shared" si="72"/>
        <v>SergeyGazECS</v>
      </c>
      <c r="C4676" s="148" t="s">
        <v>569</v>
      </c>
      <c r="D4676" s="148" t="s">
        <v>239</v>
      </c>
      <c r="E4676" s="148">
        <v>2464</v>
      </c>
      <c r="F4676" s="148" t="s">
        <v>37</v>
      </c>
    </row>
    <row r="4677" spans="1:6" ht="15.75">
      <c r="A4677" t="str">
        <f t="shared" si="72"/>
        <v>SergeyMazoutECS</v>
      </c>
      <c r="C4677" s="148" t="s">
        <v>569</v>
      </c>
      <c r="D4677" s="148" t="s">
        <v>70</v>
      </c>
      <c r="E4677" s="148">
        <v>60773.176470599996</v>
      </c>
      <c r="F4677" s="148" t="s">
        <v>37</v>
      </c>
    </row>
    <row r="4678" spans="1:6" ht="15.75">
      <c r="A4678" t="str">
        <f t="shared" si="72"/>
        <v>SergeyNon renseignéECS</v>
      </c>
      <c r="C4678" s="148" t="s">
        <v>569</v>
      </c>
      <c r="D4678" s="148" t="s">
        <v>696</v>
      </c>
      <c r="E4678" s="148">
        <v>0</v>
      </c>
      <c r="F4678" s="148" t="s">
        <v>37</v>
      </c>
    </row>
    <row r="4679" spans="1:6" ht="15.75">
      <c r="A4679" t="str">
        <f t="shared" si="72"/>
        <v>SergeyPACECS</v>
      </c>
      <c r="C4679" s="148" t="s">
        <v>569</v>
      </c>
      <c r="D4679" s="148" t="s">
        <v>69</v>
      </c>
      <c r="E4679" s="148">
        <v>3325.5384615400003</v>
      </c>
      <c r="F4679" s="148" t="s">
        <v>37</v>
      </c>
    </row>
    <row r="4680" spans="1:6" ht="15.75">
      <c r="A4680" t="str">
        <f t="shared" si="72"/>
        <v>SergeySolaireECS</v>
      </c>
      <c r="C4680" s="148" t="s">
        <v>569</v>
      </c>
      <c r="D4680" s="148" t="s">
        <v>240</v>
      </c>
      <c r="E4680" s="148">
        <v>15055.6</v>
      </c>
      <c r="F4680" s="148" t="s">
        <v>37</v>
      </c>
    </row>
    <row r="4681" spans="1:6" ht="15.75">
      <c r="A4681" t="str">
        <f t="shared" si="72"/>
        <v>ServionAutre agent énergétiqueECS</v>
      </c>
      <c r="C4681" s="148" t="s">
        <v>570</v>
      </c>
      <c r="D4681" s="148" t="s">
        <v>245</v>
      </c>
      <c r="E4681" s="148">
        <v>2450.82352941</v>
      </c>
      <c r="F4681" s="148" t="s">
        <v>37</v>
      </c>
    </row>
    <row r="4682" spans="1:6" ht="15.75">
      <c r="A4682" t="str">
        <f t="shared" si="72"/>
        <v>ServionBoisECS</v>
      </c>
      <c r="C4682" s="148" t="s">
        <v>570</v>
      </c>
      <c r="D4682" s="148" t="s">
        <v>66</v>
      </c>
      <c r="E4682" s="148">
        <v>85036.592941169991</v>
      </c>
      <c r="F4682" s="148" t="s">
        <v>37</v>
      </c>
    </row>
    <row r="4683" spans="1:6" ht="15.75">
      <c r="A4683" t="str">
        <f t="shared" si="72"/>
        <v>ServionCADECS</v>
      </c>
      <c r="C4683" s="148" t="s">
        <v>570</v>
      </c>
      <c r="D4683" s="148" t="s">
        <v>242</v>
      </c>
      <c r="E4683" s="148">
        <v>3796.8</v>
      </c>
      <c r="F4683" s="148" t="s">
        <v>37</v>
      </c>
    </row>
    <row r="4684" spans="1:6" ht="15.75">
      <c r="A4684" t="str">
        <f t="shared" si="72"/>
        <v>ServionElectricitéECS</v>
      </c>
      <c r="C4684" s="148" t="s">
        <v>570</v>
      </c>
      <c r="D4684" s="148" t="s">
        <v>97</v>
      </c>
      <c r="E4684" s="148">
        <v>541362.88888887013</v>
      </c>
      <c r="F4684" s="148" t="s">
        <v>37</v>
      </c>
    </row>
    <row r="4685" spans="1:6" ht="15.75">
      <c r="A4685" t="str">
        <f t="shared" si="72"/>
        <v>ServionGazECS</v>
      </c>
      <c r="C4685" s="148" t="s">
        <v>570</v>
      </c>
      <c r="D4685" s="148" t="s">
        <v>239</v>
      </c>
      <c r="E4685" s="148">
        <v>159818.46803071001</v>
      </c>
      <c r="F4685" s="148" t="s">
        <v>37</v>
      </c>
    </row>
    <row r="4686" spans="1:6" ht="15.75">
      <c r="A4686" t="str">
        <f t="shared" si="72"/>
        <v>ServionMazoutECS</v>
      </c>
      <c r="C4686" s="148" t="s">
        <v>570</v>
      </c>
      <c r="D4686" s="148" t="s">
        <v>70</v>
      </c>
      <c r="E4686" s="148">
        <v>762919.29411764035</v>
      </c>
      <c r="F4686" s="148" t="s">
        <v>37</v>
      </c>
    </row>
    <row r="4687" spans="1:6" ht="15.75">
      <c r="A4687" t="str">
        <f t="shared" si="72"/>
        <v>ServionNon renseignéECS</v>
      </c>
      <c r="C4687" s="148" t="s">
        <v>570</v>
      </c>
      <c r="D4687" s="148" t="s">
        <v>696</v>
      </c>
      <c r="E4687" s="148">
        <v>0</v>
      </c>
      <c r="F4687" s="148" t="s">
        <v>37</v>
      </c>
    </row>
    <row r="4688" spans="1:6" ht="15.75">
      <c r="A4688" t="str">
        <f t="shared" si="72"/>
        <v>ServionPACECS</v>
      </c>
      <c r="C4688" s="148" t="s">
        <v>570</v>
      </c>
      <c r="D4688" s="148" t="s">
        <v>69</v>
      </c>
      <c r="E4688" s="148">
        <v>36124.612040120002</v>
      </c>
      <c r="F4688" s="148" t="s">
        <v>37</v>
      </c>
    </row>
    <row r="4689" spans="1:6" ht="15.75">
      <c r="A4689" t="str">
        <f t="shared" si="72"/>
        <v>ServionSolaireECS</v>
      </c>
      <c r="C4689" s="148" t="s">
        <v>570</v>
      </c>
      <c r="D4689" s="148" t="s">
        <v>240</v>
      </c>
      <c r="E4689" s="148">
        <v>198102.1</v>
      </c>
      <c r="F4689" s="148" t="s">
        <v>37</v>
      </c>
    </row>
    <row r="4690" spans="1:6" ht="15.75">
      <c r="A4690" t="str">
        <f t="shared" si="72"/>
        <v>SéveryBoisECS</v>
      </c>
      <c r="C4690" s="148" t="s">
        <v>616</v>
      </c>
      <c r="D4690" s="148" t="s">
        <v>66</v>
      </c>
      <c r="E4690" s="148" t="e">
        <v>#N/A</v>
      </c>
      <c r="F4690" s="148" t="s">
        <v>37</v>
      </c>
    </row>
    <row r="4691" spans="1:6" ht="15.75">
      <c r="A4691" t="str">
        <f t="shared" ref="A4691:A4754" si="73">_xlfn.CONCAT(C4691,D4691,F4691)</f>
        <v>SéveryElectricitéECS</v>
      </c>
      <c r="C4691" s="148" t="s">
        <v>616</v>
      </c>
      <c r="D4691" s="148" t="s">
        <v>97</v>
      </c>
      <c r="E4691" s="148" t="e">
        <v>#N/A</v>
      </c>
      <c r="F4691" s="148" t="s">
        <v>37</v>
      </c>
    </row>
    <row r="4692" spans="1:6" ht="15.75">
      <c r="A4692" t="str">
        <f t="shared" si="73"/>
        <v>SéveryGazECS</v>
      </c>
      <c r="C4692" s="148" t="s">
        <v>616</v>
      </c>
      <c r="D4692" s="148" t="s">
        <v>239</v>
      </c>
      <c r="E4692" s="148" t="e">
        <v>#N/A</v>
      </c>
      <c r="F4692" s="148" t="s">
        <v>37</v>
      </c>
    </row>
    <row r="4693" spans="1:6" ht="15.75">
      <c r="A4693" t="str">
        <f t="shared" si="73"/>
        <v>SéveryMazoutECS</v>
      </c>
      <c r="C4693" s="148" t="s">
        <v>616</v>
      </c>
      <c r="D4693" s="148" t="s">
        <v>70</v>
      </c>
      <c r="E4693" s="148" t="e">
        <v>#N/A</v>
      </c>
      <c r="F4693" s="148" t="s">
        <v>37</v>
      </c>
    </row>
    <row r="4694" spans="1:6" ht="15.75">
      <c r="A4694" t="str">
        <f t="shared" si="73"/>
        <v>SéveryNon renseignéECS</v>
      </c>
      <c r="C4694" s="148" t="s">
        <v>616</v>
      </c>
      <c r="D4694" s="148" t="s">
        <v>696</v>
      </c>
      <c r="E4694" s="148" t="e">
        <v>#N/A</v>
      </c>
      <c r="F4694" s="148" t="s">
        <v>37</v>
      </c>
    </row>
    <row r="4695" spans="1:6" ht="15.75">
      <c r="A4695" t="str">
        <f t="shared" si="73"/>
        <v>SéveryPACECS</v>
      </c>
      <c r="C4695" s="148" t="s">
        <v>616</v>
      </c>
      <c r="D4695" s="148" t="s">
        <v>69</v>
      </c>
      <c r="E4695" s="148" t="e">
        <v>#N/A</v>
      </c>
      <c r="F4695" s="148" t="s">
        <v>37</v>
      </c>
    </row>
    <row r="4696" spans="1:6" ht="15.75">
      <c r="A4696" t="str">
        <f t="shared" si="73"/>
        <v>SéverySolaireECS</v>
      </c>
      <c r="C4696" s="148" t="s">
        <v>616</v>
      </c>
      <c r="D4696" s="148" t="s">
        <v>240</v>
      </c>
      <c r="E4696" s="148" t="e">
        <v>#N/A</v>
      </c>
      <c r="F4696" s="148" t="s">
        <v>37</v>
      </c>
    </row>
    <row r="4697" spans="1:6" ht="15.75">
      <c r="A4697" t="str">
        <f t="shared" si="73"/>
        <v>Signy-AvenexAutre agent énergétiqueECS</v>
      </c>
      <c r="C4697" s="148" t="s">
        <v>571</v>
      </c>
      <c r="D4697" s="148" t="s">
        <v>245</v>
      </c>
      <c r="E4697" s="148">
        <v>0</v>
      </c>
      <c r="F4697" s="148" t="s">
        <v>37</v>
      </c>
    </row>
    <row r="4698" spans="1:6" ht="15.75">
      <c r="A4698" t="str">
        <f t="shared" si="73"/>
        <v>Signy-AvenexBoisECS</v>
      </c>
      <c r="C4698" s="148" t="s">
        <v>571</v>
      </c>
      <c r="D4698" s="148" t="s">
        <v>66</v>
      </c>
      <c r="E4698" s="148">
        <v>8084.09411765</v>
      </c>
      <c r="F4698" s="148" t="s">
        <v>37</v>
      </c>
    </row>
    <row r="4699" spans="1:6" ht="15.75">
      <c r="A4699" t="str">
        <f t="shared" si="73"/>
        <v>Signy-AvenexElectricitéECS</v>
      </c>
      <c r="C4699" s="148" t="s">
        <v>571</v>
      </c>
      <c r="D4699" s="148" t="s">
        <v>97</v>
      </c>
      <c r="E4699" s="148">
        <v>110750.57777777</v>
      </c>
      <c r="F4699" s="148" t="s">
        <v>37</v>
      </c>
    </row>
    <row r="4700" spans="1:6" ht="15.75">
      <c r="A4700" t="str">
        <f t="shared" si="73"/>
        <v>Signy-AvenexGazECS</v>
      </c>
      <c r="C4700" s="148" t="s">
        <v>571</v>
      </c>
      <c r="D4700" s="148" t="s">
        <v>239</v>
      </c>
      <c r="E4700" s="148">
        <v>330548.23529413994</v>
      </c>
      <c r="F4700" s="148" t="s">
        <v>37</v>
      </c>
    </row>
    <row r="4701" spans="1:6" ht="15.75">
      <c r="A4701" t="str">
        <f t="shared" si="73"/>
        <v>Signy-AvenexMazoutECS</v>
      </c>
      <c r="C4701" s="148" t="s">
        <v>571</v>
      </c>
      <c r="D4701" s="148" t="s">
        <v>70</v>
      </c>
      <c r="E4701" s="148">
        <v>309457.64705883007</v>
      </c>
      <c r="F4701" s="148" t="s">
        <v>37</v>
      </c>
    </row>
    <row r="4702" spans="1:6" ht="15.75">
      <c r="A4702" t="str">
        <f t="shared" si="73"/>
        <v>Signy-AvenexNon renseignéECS</v>
      </c>
      <c r="C4702" s="148" t="s">
        <v>571</v>
      </c>
      <c r="D4702" s="148" t="s">
        <v>696</v>
      </c>
      <c r="E4702" s="148">
        <v>0</v>
      </c>
      <c r="F4702" s="148" t="s">
        <v>37</v>
      </c>
    </row>
    <row r="4703" spans="1:6" ht="15.75">
      <c r="A4703" t="str">
        <f t="shared" si="73"/>
        <v>Signy-AvenexPACECS</v>
      </c>
      <c r="C4703" s="148" t="s">
        <v>571</v>
      </c>
      <c r="D4703" s="148" t="s">
        <v>69</v>
      </c>
      <c r="E4703" s="148">
        <v>4022.54180602</v>
      </c>
      <c r="F4703" s="148" t="s">
        <v>37</v>
      </c>
    </row>
    <row r="4704" spans="1:6" ht="15.75">
      <c r="A4704" t="str">
        <f t="shared" si="73"/>
        <v>Signy-AvenexCharbonECS</v>
      </c>
      <c r="C4704" s="148" t="s">
        <v>571</v>
      </c>
      <c r="D4704" s="148" t="s">
        <v>695</v>
      </c>
      <c r="E4704" s="148" t="e">
        <v>#N/A</v>
      </c>
      <c r="F4704" s="148" t="s">
        <v>37</v>
      </c>
    </row>
    <row r="4705" spans="1:6" ht="15.75">
      <c r="A4705" t="str">
        <f t="shared" si="73"/>
        <v>Signy-AvenexSolaireECS</v>
      </c>
      <c r="C4705" s="148" t="s">
        <v>571</v>
      </c>
      <c r="D4705" s="148" t="s">
        <v>240</v>
      </c>
      <c r="E4705" s="148">
        <v>112285.59999999998</v>
      </c>
      <c r="F4705" s="148" t="s">
        <v>37</v>
      </c>
    </row>
    <row r="4706" spans="1:6" ht="15.75">
      <c r="A4706" t="str">
        <f t="shared" si="73"/>
        <v>SuchyBoisECS</v>
      </c>
      <c r="C4706" s="148" t="s">
        <v>572</v>
      </c>
      <c r="D4706" s="148" t="s">
        <v>66</v>
      </c>
      <c r="E4706" s="148">
        <v>153543.43529411999</v>
      </c>
      <c r="F4706" s="148" t="s">
        <v>37</v>
      </c>
    </row>
    <row r="4707" spans="1:6" ht="15.75">
      <c r="A4707" t="str">
        <f t="shared" si="73"/>
        <v>SuchyCADECS</v>
      </c>
      <c r="C4707" s="148" t="s">
        <v>572</v>
      </c>
      <c r="D4707" s="148" t="s">
        <v>242</v>
      </c>
      <c r="E4707" s="148">
        <v>963.2</v>
      </c>
      <c r="F4707" s="148" t="s">
        <v>37</v>
      </c>
    </row>
    <row r="4708" spans="1:6" ht="15.75">
      <c r="A4708" t="str">
        <f t="shared" si="73"/>
        <v>SuchyElectricitéECS</v>
      </c>
      <c r="C4708" s="148" t="s">
        <v>572</v>
      </c>
      <c r="D4708" s="148" t="s">
        <v>97</v>
      </c>
      <c r="E4708" s="148">
        <v>112124.44444446004</v>
      </c>
      <c r="F4708" s="148" t="s">
        <v>37</v>
      </c>
    </row>
    <row r="4709" spans="1:6" ht="15.75">
      <c r="A4709" t="str">
        <f t="shared" si="73"/>
        <v>SuchyGazECS</v>
      </c>
      <c r="C4709" s="148" t="s">
        <v>572</v>
      </c>
      <c r="D4709" s="148" t="s">
        <v>239</v>
      </c>
      <c r="E4709" s="148">
        <v>134945.53452686002</v>
      </c>
      <c r="F4709" s="148" t="s">
        <v>37</v>
      </c>
    </row>
    <row r="4710" spans="1:6" ht="15.75">
      <c r="A4710" t="str">
        <f t="shared" si="73"/>
        <v>SuchyMazoutECS</v>
      </c>
      <c r="C4710" s="148" t="s">
        <v>572</v>
      </c>
      <c r="D4710" s="148" t="s">
        <v>70</v>
      </c>
      <c r="E4710" s="148">
        <v>410440.47058825992</v>
      </c>
      <c r="F4710" s="148" t="s">
        <v>37</v>
      </c>
    </row>
    <row r="4711" spans="1:6" ht="15.75">
      <c r="A4711" t="str">
        <f t="shared" si="73"/>
        <v>SuchyNon renseignéECS</v>
      </c>
      <c r="C4711" s="148" t="s">
        <v>572</v>
      </c>
      <c r="D4711" s="148" t="s">
        <v>696</v>
      </c>
      <c r="E4711" s="148">
        <v>0</v>
      </c>
      <c r="F4711" s="148" t="s">
        <v>37</v>
      </c>
    </row>
    <row r="4712" spans="1:6" ht="15.75">
      <c r="A4712" t="str">
        <f t="shared" si="73"/>
        <v>SuchyPACECS</v>
      </c>
      <c r="C4712" s="148" t="s">
        <v>572</v>
      </c>
      <c r="D4712" s="148" t="s">
        <v>69</v>
      </c>
      <c r="E4712" s="148">
        <v>23248.451505030003</v>
      </c>
      <c r="F4712" s="148" t="s">
        <v>37</v>
      </c>
    </row>
    <row r="4713" spans="1:6" ht="15.75">
      <c r="A4713" t="str">
        <f t="shared" si="73"/>
        <v>SuchySolaireECS</v>
      </c>
      <c r="C4713" s="148" t="s">
        <v>572</v>
      </c>
      <c r="D4713" s="148" t="s">
        <v>240</v>
      </c>
      <c r="E4713" s="148">
        <v>139932.24000000002</v>
      </c>
      <c r="F4713" s="148" t="s">
        <v>37</v>
      </c>
    </row>
    <row r="4714" spans="1:6" ht="15.75">
      <c r="A4714" t="str">
        <f t="shared" si="73"/>
        <v>SullensBoisECS</v>
      </c>
      <c r="C4714" s="148" t="s">
        <v>573</v>
      </c>
      <c r="D4714" s="148" t="s">
        <v>66</v>
      </c>
      <c r="E4714" s="148">
        <v>47956.423529410007</v>
      </c>
      <c r="F4714" s="148" t="s">
        <v>37</v>
      </c>
    </row>
    <row r="4715" spans="1:6" ht="15.75">
      <c r="A4715" t="str">
        <f t="shared" si="73"/>
        <v>SullensElectricitéECS</v>
      </c>
      <c r="C4715" s="148" t="s">
        <v>573</v>
      </c>
      <c r="D4715" s="148" t="s">
        <v>97</v>
      </c>
      <c r="E4715" s="148">
        <v>311400.44444448</v>
      </c>
      <c r="F4715" s="148" t="s">
        <v>37</v>
      </c>
    </row>
    <row r="4716" spans="1:6" ht="15.75">
      <c r="A4716" t="str">
        <f t="shared" si="73"/>
        <v>SullensGazECS</v>
      </c>
      <c r="C4716" s="148" t="s">
        <v>573</v>
      </c>
      <c r="D4716" s="148" t="s">
        <v>239</v>
      </c>
      <c r="E4716" s="148">
        <v>493973.52941174002</v>
      </c>
      <c r="F4716" s="148" t="s">
        <v>37</v>
      </c>
    </row>
    <row r="4717" spans="1:6" ht="15.75">
      <c r="A4717" t="str">
        <f t="shared" si="73"/>
        <v>SullensMazoutECS</v>
      </c>
      <c r="C4717" s="148" t="s">
        <v>573</v>
      </c>
      <c r="D4717" s="148" t="s">
        <v>70</v>
      </c>
      <c r="E4717" s="148">
        <v>389697.41176473</v>
      </c>
      <c r="F4717" s="148" t="s">
        <v>37</v>
      </c>
    </row>
    <row r="4718" spans="1:6" ht="15.75">
      <c r="A4718" t="str">
        <f t="shared" si="73"/>
        <v>SullensNon renseignéECS</v>
      </c>
      <c r="C4718" s="148" t="s">
        <v>573</v>
      </c>
      <c r="D4718" s="148" t="s">
        <v>696</v>
      </c>
      <c r="E4718" s="148">
        <v>0</v>
      </c>
      <c r="F4718" s="148" t="s">
        <v>37</v>
      </c>
    </row>
    <row r="4719" spans="1:6" ht="15.75">
      <c r="A4719" t="str">
        <f t="shared" si="73"/>
        <v>SullensPACECS</v>
      </c>
      <c r="C4719" s="148" t="s">
        <v>573</v>
      </c>
      <c r="D4719" s="148" t="s">
        <v>69</v>
      </c>
      <c r="E4719" s="148">
        <v>15103.618976850001</v>
      </c>
      <c r="F4719" s="148" t="s">
        <v>37</v>
      </c>
    </row>
    <row r="4720" spans="1:6" ht="15.75">
      <c r="A4720" t="str">
        <f t="shared" si="73"/>
        <v>SullensSolaireECS</v>
      </c>
      <c r="C4720" s="148" t="s">
        <v>573</v>
      </c>
      <c r="D4720" s="148" t="s">
        <v>240</v>
      </c>
      <c r="E4720" s="148">
        <v>164030.30000000002</v>
      </c>
      <c r="F4720" s="148" t="s">
        <v>37</v>
      </c>
    </row>
    <row r="4721" spans="1:6" ht="15.75">
      <c r="A4721" t="str">
        <f t="shared" si="73"/>
        <v>SuscévazBoisECS</v>
      </c>
      <c r="C4721" s="148" t="s">
        <v>615</v>
      </c>
      <c r="D4721" s="148" t="s">
        <v>66</v>
      </c>
      <c r="E4721" s="148">
        <v>8952.5333333300005</v>
      </c>
      <c r="F4721" s="148" t="s">
        <v>37</v>
      </c>
    </row>
    <row r="4722" spans="1:6" ht="15.75">
      <c r="A4722" t="str">
        <f t="shared" si="73"/>
        <v>SuscévazElectricitéECS</v>
      </c>
      <c r="C4722" s="148" t="s">
        <v>615</v>
      </c>
      <c r="D4722" s="148" t="s">
        <v>97</v>
      </c>
      <c r="E4722" s="148">
        <v>149263.85185185002</v>
      </c>
      <c r="F4722" s="148" t="s">
        <v>37</v>
      </c>
    </row>
    <row r="4723" spans="1:6" ht="15.75">
      <c r="A4723" t="str">
        <f t="shared" si="73"/>
        <v>SuscévazGazECS</v>
      </c>
      <c r="C4723" s="148" t="s">
        <v>615</v>
      </c>
      <c r="D4723" s="148" t="s">
        <v>239</v>
      </c>
      <c r="E4723" s="148">
        <v>1292.8695652199999</v>
      </c>
      <c r="F4723" s="148" t="s">
        <v>37</v>
      </c>
    </row>
    <row r="4724" spans="1:6" ht="15.75">
      <c r="A4724" t="str">
        <f t="shared" si="73"/>
        <v>SuscévazMazoutECS</v>
      </c>
      <c r="C4724" s="148" t="s">
        <v>615</v>
      </c>
      <c r="D4724" s="148" t="s">
        <v>70</v>
      </c>
      <c r="E4724" s="148">
        <v>150052.87967915001</v>
      </c>
      <c r="F4724" s="148" t="s">
        <v>37</v>
      </c>
    </row>
    <row r="4725" spans="1:6" ht="15.75">
      <c r="A4725" t="str">
        <f t="shared" si="73"/>
        <v>SuscévazNon renseignéECS</v>
      </c>
      <c r="C4725" s="148" t="s">
        <v>615</v>
      </c>
      <c r="D4725" s="148" t="s">
        <v>696</v>
      </c>
      <c r="E4725" s="148">
        <v>0</v>
      </c>
      <c r="F4725" s="148" t="s">
        <v>37</v>
      </c>
    </row>
    <row r="4726" spans="1:6" ht="15.75">
      <c r="A4726" t="str">
        <f t="shared" si="73"/>
        <v>SuscévazPACECS</v>
      </c>
      <c r="C4726" s="148" t="s">
        <v>615</v>
      </c>
      <c r="D4726" s="148" t="s">
        <v>69</v>
      </c>
      <c r="E4726" s="148">
        <v>14333.846153840001</v>
      </c>
      <c r="F4726" s="148" t="s">
        <v>37</v>
      </c>
    </row>
    <row r="4727" spans="1:6" ht="15.75">
      <c r="A4727" t="str">
        <f t="shared" si="73"/>
        <v>SuscévazSolaireECS</v>
      </c>
      <c r="C4727" s="148" t="s">
        <v>615</v>
      </c>
      <c r="D4727" s="148" t="s">
        <v>240</v>
      </c>
      <c r="E4727" s="148">
        <v>12684</v>
      </c>
      <c r="F4727" s="148" t="s">
        <v>37</v>
      </c>
    </row>
    <row r="4728" spans="1:6" ht="15.75">
      <c r="A4728" t="str">
        <f t="shared" si="73"/>
        <v>SyensBoisECS</v>
      </c>
      <c r="C4728" s="148" t="s">
        <v>574</v>
      </c>
      <c r="D4728" s="148" t="s">
        <v>66</v>
      </c>
      <c r="E4728" s="148">
        <v>102073.17647059</v>
      </c>
      <c r="F4728" s="148" t="s">
        <v>37</v>
      </c>
    </row>
    <row r="4729" spans="1:6" ht="15.75">
      <c r="A4729" t="str">
        <f t="shared" si="73"/>
        <v>SyensElectricitéECS</v>
      </c>
      <c r="C4729" s="148" t="s">
        <v>574</v>
      </c>
      <c r="D4729" s="148" t="s">
        <v>97</v>
      </c>
      <c r="E4729" s="148">
        <v>38304.000000009997</v>
      </c>
      <c r="F4729" s="148" t="s">
        <v>37</v>
      </c>
    </row>
    <row r="4730" spans="1:6" ht="15.75">
      <c r="A4730" t="str">
        <f t="shared" si="73"/>
        <v>SyensGazECS</v>
      </c>
      <c r="C4730" s="148" t="s">
        <v>574</v>
      </c>
      <c r="D4730" s="148" t="s">
        <v>239</v>
      </c>
      <c r="E4730" s="148">
        <v>61323.294117649995</v>
      </c>
      <c r="F4730" s="148" t="s">
        <v>37</v>
      </c>
    </row>
    <row r="4731" spans="1:6" ht="15.75">
      <c r="A4731" t="str">
        <f t="shared" si="73"/>
        <v>SyensMazoutECS</v>
      </c>
      <c r="C4731" s="148" t="s">
        <v>574</v>
      </c>
      <c r="D4731" s="148" t="s">
        <v>70</v>
      </c>
      <c r="E4731" s="148">
        <v>164089.88235294999</v>
      </c>
      <c r="F4731" s="148" t="s">
        <v>37</v>
      </c>
    </row>
    <row r="4732" spans="1:6" ht="15.75">
      <c r="A4732" t="str">
        <f t="shared" si="73"/>
        <v>SyensNon renseignéECS</v>
      </c>
      <c r="C4732" s="148" t="s">
        <v>574</v>
      </c>
      <c r="D4732" s="148" t="s">
        <v>696</v>
      </c>
      <c r="E4732" s="148">
        <v>0</v>
      </c>
      <c r="F4732" s="148" t="s">
        <v>37</v>
      </c>
    </row>
    <row r="4733" spans="1:6" ht="15.75">
      <c r="A4733" t="str">
        <f t="shared" si="73"/>
        <v>SyensPACECS</v>
      </c>
      <c r="C4733" s="148" t="s">
        <v>574</v>
      </c>
      <c r="D4733" s="148" t="s">
        <v>69</v>
      </c>
      <c r="E4733" s="148">
        <v>3085.10541311</v>
      </c>
      <c r="F4733" s="148" t="s">
        <v>37</v>
      </c>
    </row>
    <row r="4734" spans="1:6" ht="15.75">
      <c r="A4734" t="str">
        <f t="shared" si="73"/>
        <v>SyensSolaireECS</v>
      </c>
      <c r="C4734" s="148" t="s">
        <v>574</v>
      </c>
      <c r="D4734" s="148" t="s">
        <v>240</v>
      </c>
      <c r="E4734" s="148">
        <v>14317.8</v>
      </c>
      <c r="F4734" s="148" t="s">
        <v>37</v>
      </c>
    </row>
    <row r="4735" spans="1:6" ht="15.75">
      <c r="A4735" t="str">
        <f t="shared" si="73"/>
        <v>TannayBoisECS</v>
      </c>
      <c r="C4735" s="148" t="s">
        <v>575</v>
      </c>
      <c r="D4735" s="148" t="s">
        <v>66</v>
      </c>
      <c r="E4735" s="148">
        <v>51601.694117660001</v>
      </c>
      <c r="F4735" s="148" t="s">
        <v>37</v>
      </c>
    </row>
    <row r="4736" spans="1:6" ht="15.75">
      <c r="A4736" t="str">
        <f t="shared" si="73"/>
        <v>TannayElectricitéECS</v>
      </c>
      <c r="C4736" s="148" t="s">
        <v>575</v>
      </c>
      <c r="D4736" s="148" t="s">
        <v>97</v>
      </c>
      <c r="E4736" s="148">
        <v>622438.4444444601</v>
      </c>
      <c r="F4736" s="148" t="s">
        <v>37</v>
      </c>
    </row>
    <row r="4737" spans="1:6" ht="15.75">
      <c r="A4737" t="str">
        <f t="shared" si="73"/>
        <v>TannayGazECS</v>
      </c>
      <c r="C4737" s="148" t="s">
        <v>575</v>
      </c>
      <c r="D4737" s="148" t="s">
        <v>239</v>
      </c>
      <c r="E4737" s="148">
        <v>28313.227621489998</v>
      </c>
      <c r="F4737" s="148" t="s">
        <v>37</v>
      </c>
    </row>
    <row r="4738" spans="1:6" ht="15.75">
      <c r="A4738" t="str">
        <f t="shared" si="73"/>
        <v>TannayMazoutECS</v>
      </c>
      <c r="C4738" s="148" t="s">
        <v>575</v>
      </c>
      <c r="D4738" s="148" t="s">
        <v>70</v>
      </c>
      <c r="E4738" s="148">
        <v>983124.47058812971</v>
      </c>
      <c r="F4738" s="148" t="s">
        <v>37</v>
      </c>
    </row>
    <row r="4739" spans="1:6" ht="15.75">
      <c r="A4739" t="str">
        <f t="shared" si="73"/>
        <v>TannayNon renseignéECS</v>
      </c>
      <c r="C4739" s="148" t="s">
        <v>575</v>
      </c>
      <c r="D4739" s="148" t="s">
        <v>696</v>
      </c>
      <c r="E4739" s="148">
        <v>0</v>
      </c>
      <c r="F4739" s="148" t="s">
        <v>37</v>
      </c>
    </row>
    <row r="4740" spans="1:6" ht="15.75">
      <c r="A4740" t="str">
        <f t="shared" si="73"/>
        <v>TannayPACECS</v>
      </c>
      <c r="C4740" s="148" t="s">
        <v>575</v>
      </c>
      <c r="D4740" s="148" t="s">
        <v>69</v>
      </c>
      <c r="E4740" s="148">
        <v>114820.57079150001</v>
      </c>
      <c r="F4740" s="148" t="s">
        <v>37</v>
      </c>
    </row>
    <row r="4741" spans="1:6" ht="15.75">
      <c r="A4741" t="str">
        <f t="shared" si="73"/>
        <v>TannaySolaireECS</v>
      </c>
      <c r="C4741" s="148" t="s">
        <v>575</v>
      </c>
      <c r="D4741" s="148" t="s">
        <v>240</v>
      </c>
      <c r="E4741" s="148">
        <v>148347.44615384997</v>
      </c>
      <c r="F4741" s="148" t="s">
        <v>37</v>
      </c>
    </row>
    <row r="4742" spans="1:6" ht="15.75">
      <c r="A4742" t="str">
        <f t="shared" si="73"/>
        <v>TartegninBoisECS</v>
      </c>
      <c r="C4742" s="148" t="s">
        <v>576</v>
      </c>
      <c r="D4742" s="148" t="s">
        <v>66</v>
      </c>
      <c r="E4742" s="148">
        <v>82657.866666670001</v>
      </c>
      <c r="F4742" s="148" t="s">
        <v>37</v>
      </c>
    </row>
    <row r="4743" spans="1:6" ht="15.75">
      <c r="A4743" t="str">
        <f t="shared" si="73"/>
        <v>TartegninCADECS</v>
      </c>
      <c r="C4743" s="148" t="s">
        <v>576</v>
      </c>
      <c r="D4743" s="148" t="s">
        <v>242</v>
      </c>
      <c r="E4743" s="148">
        <v>6857.2</v>
      </c>
      <c r="F4743" s="148" t="s">
        <v>37</v>
      </c>
    </row>
    <row r="4744" spans="1:6" ht="15.75">
      <c r="A4744" t="str">
        <f t="shared" si="73"/>
        <v>TartegninElectricitéECS</v>
      </c>
      <c r="C4744" s="148" t="s">
        <v>576</v>
      </c>
      <c r="D4744" s="148" t="s">
        <v>97</v>
      </c>
      <c r="E4744" s="148">
        <v>124204.88888889</v>
      </c>
      <c r="F4744" s="148" t="s">
        <v>37</v>
      </c>
    </row>
    <row r="4745" spans="1:6" ht="15.75">
      <c r="A4745" t="str">
        <f t="shared" si="73"/>
        <v>TartegninGazECS</v>
      </c>
      <c r="C4745" s="148" t="s">
        <v>576</v>
      </c>
      <c r="D4745" s="148" t="s">
        <v>239</v>
      </c>
      <c r="E4745" s="148">
        <v>147214.67263428002</v>
      </c>
      <c r="F4745" s="148" t="s">
        <v>37</v>
      </c>
    </row>
    <row r="4746" spans="1:6" ht="15.75">
      <c r="A4746" t="str">
        <f t="shared" si="73"/>
        <v>TartegninMazoutECS</v>
      </c>
      <c r="C4746" s="148" t="s">
        <v>576</v>
      </c>
      <c r="D4746" s="148" t="s">
        <v>70</v>
      </c>
      <c r="E4746" s="148">
        <v>40158.588235290001</v>
      </c>
      <c r="F4746" s="148" t="s">
        <v>37</v>
      </c>
    </row>
    <row r="4747" spans="1:6" ht="15.75">
      <c r="A4747" t="str">
        <f t="shared" si="73"/>
        <v>TartegninPACECS</v>
      </c>
      <c r="C4747" s="148" t="s">
        <v>576</v>
      </c>
      <c r="D4747" s="148" t="s">
        <v>69</v>
      </c>
      <c r="E4747" s="148">
        <v>1751.0769230799999</v>
      </c>
      <c r="F4747" s="148" t="s">
        <v>37</v>
      </c>
    </row>
    <row r="4748" spans="1:6" ht="15.75">
      <c r="A4748" t="str">
        <f t="shared" si="73"/>
        <v>TartegninSolaireECS</v>
      </c>
      <c r="C4748" s="148" t="s">
        <v>576</v>
      </c>
      <c r="D4748" s="148" t="s">
        <v>240</v>
      </c>
      <c r="E4748" s="148">
        <v>27137.600000000002</v>
      </c>
      <c r="F4748" s="148" t="s">
        <v>37</v>
      </c>
    </row>
    <row r="4749" spans="1:6" ht="15.75">
      <c r="A4749" t="str">
        <f t="shared" si="73"/>
        <v>TévenonAutre agent énergétiqueECS</v>
      </c>
      <c r="C4749" s="148" t="s">
        <v>614</v>
      </c>
      <c r="D4749" s="148" t="s">
        <v>245</v>
      </c>
      <c r="E4749" s="148" t="e">
        <v>#N/A</v>
      </c>
      <c r="F4749" s="148" t="s">
        <v>37</v>
      </c>
    </row>
    <row r="4750" spans="1:6" ht="15.75">
      <c r="A4750" t="str">
        <f t="shared" si="73"/>
        <v>TévenonBoisECS</v>
      </c>
      <c r="C4750" s="148" t="s">
        <v>614</v>
      </c>
      <c r="D4750" s="148" t="s">
        <v>66</v>
      </c>
      <c r="E4750" s="148">
        <v>261357.92941177005</v>
      </c>
      <c r="F4750" s="148" t="s">
        <v>37</v>
      </c>
    </row>
    <row r="4751" spans="1:6" ht="15.75">
      <c r="A4751" t="str">
        <f t="shared" si="73"/>
        <v>TévenonElectricitéECS</v>
      </c>
      <c r="C4751" s="148" t="s">
        <v>614</v>
      </c>
      <c r="D4751" s="148" t="s">
        <v>97</v>
      </c>
      <c r="E4751" s="148">
        <v>439218.88888890005</v>
      </c>
      <c r="F4751" s="148" t="s">
        <v>37</v>
      </c>
    </row>
    <row r="4752" spans="1:6" ht="15.75">
      <c r="A4752" t="str">
        <f t="shared" si="73"/>
        <v>TévenonGazECS</v>
      </c>
      <c r="C4752" s="148" t="s">
        <v>614</v>
      </c>
      <c r="D4752" s="148" t="s">
        <v>239</v>
      </c>
      <c r="E4752" s="148">
        <v>12233.493606149999</v>
      </c>
      <c r="F4752" s="148" t="s">
        <v>37</v>
      </c>
    </row>
    <row r="4753" spans="1:6" ht="15.75">
      <c r="A4753" t="str">
        <f t="shared" si="73"/>
        <v>TévenonMazoutECS</v>
      </c>
      <c r="C4753" s="148" t="s">
        <v>614</v>
      </c>
      <c r="D4753" s="148" t="s">
        <v>70</v>
      </c>
      <c r="E4753" s="148">
        <v>443196.07843135996</v>
      </c>
      <c r="F4753" s="148" t="s">
        <v>37</v>
      </c>
    </row>
    <row r="4754" spans="1:6" ht="15.75">
      <c r="A4754" t="str">
        <f t="shared" si="73"/>
        <v>TévenonNon renseignéECS</v>
      </c>
      <c r="C4754" s="148" t="s">
        <v>614</v>
      </c>
      <c r="D4754" s="148" t="s">
        <v>696</v>
      </c>
      <c r="E4754" s="148">
        <v>0</v>
      </c>
      <c r="F4754" s="148" t="s">
        <v>37</v>
      </c>
    </row>
    <row r="4755" spans="1:6" ht="15.75">
      <c r="A4755" t="str">
        <f t="shared" ref="A4755:A4818" si="74">_xlfn.CONCAT(C4755,D4755,F4755)</f>
        <v>TévenonPACECS</v>
      </c>
      <c r="C4755" s="148" t="s">
        <v>614</v>
      </c>
      <c r="D4755" s="148" t="s">
        <v>69</v>
      </c>
      <c r="E4755" s="148">
        <v>27859.719063550005</v>
      </c>
      <c r="F4755" s="148" t="s">
        <v>37</v>
      </c>
    </row>
    <row r="4756" spans="1:6" ht="15.75">
      <c r="A4756" t="str">
        <f t="shared" si="74"/>
        <v>TévenonSolaireECS</v>
      </c>
      <c r="C4756" s="148" t="s">
        <v>614</v>
      </c>
      <c r="D4756" s="148" t="s">
        <v>240</v>
      </c>
      <c r="E4756" s="148">
        <v>214179.70000000004</v>
      </c>
      <c r="F4756" s="148" t="s">
        <v>37</v>
      </c>
    </row>
    <row r="4757" spans="1:6" ht="15.75">
      <c r="A4757" t="str">
        <f t="shared" si="74"/>
        <v>TolochenazBoisECS</v>
      </c>
      <c r="C4757" s="148" t="s">
        <v>577</v>
      </c>
      <c r="D4757" s="148" t="s">
        <v>66</v>
      </c>
      <c r="E4757" s="148">
        <v>13950.588235290001</v>
      </c>
      <c r="F4757" s="148" t="s">
        <v>37</v>
      </c>
    </row>
    <row r="4758" spans="1:6" ht="15.75">
      <c r="A4758" t="str">
        <f t="shared" si="74"/>
        <v>TolochenazElectricitéECS</v>
      </c>
      <c r="C4758" s="148" t="s">
        <v>577</v>
      </c>
      <c r="D4758" s="148" t="s">
        <v>97</v>
      </c>
      <c r="E4758" s="148">
        <v>689793.68888884014</v>
      </c>
      <c r="F4758" s="148" t="s">
        <v>37</v>
      </c>
    </row>
    <row r="4759" spans="1:6" ht="15.75">
      <c r="A4759" t="str">
        <f t="shared" si="74"/>
        <v>TolochenazGazECS</v>
      </c>
      <c r="C4759" s="148" t="s">
        <v>577</v>
      </c>
      <c r="D4759" s="148" t="s">
        <v>239</v>
      </c>
      <c r="E4759" s="148">
        <v>427586.42455245991</v>
      </c>
      <c r="F4759" s="148" t="s">
        <v>37</v>
      </c>
    </row>
    <row r="4760" spans="1:6" ht="15.75">
      <c r="A4760" t="str">
        <f t="shared" si="74"/>
        <v>TolochenazMazoutECS</v>
      </c>
      <c r="C4760" s="148" t="s">
        <v>577</v>
      </c>
      <c r="D4760" s="148" t="s">
        <v>70</v>
      </c>
      <c r="E4760" s="148">
        <v>1017729.1764706599</v>
      </c>
      <c r="F4760" s="148" t="s">
        <v>37</v>
      </c>
    </row>
    <row r="4761" spans="1:6" ht="15.75">
      <c r="A4761" t="str">
        <f t="shared" si="74"/>
        <v>TolochenazNon renseignéECS</v>
      </c>
      <c r="C4761" s="148" t="s">
        <v>577</v>
      </c>
      <c r="D4761" s="148" t="s">
        <v>696</v>
      </c>
      <c r="E4761" s="148">
        <v>0</v>
      </c>
      <c r="F4761" s="148" t="s">
        <v>37</v>
      </c>
    </row>
    <row r="4762" spans="1:6" ht="15.75">
      <c r="A4762" t="str">
        <f t="shared" si="74"/>
        <v>TolochenazPACECS</v>
      </c>
      <c r="C4762" s="148" t="s">
        <v>577</v>
      </c>
      <c r="D4762" s="148" t="s">
        <v>69</v>
      </c>
      <c r="E4762" s="148">
        <v>22608.17521369</v>
      </c>
      <c r="F4762" s="148" t="s">
        <v>37</v>
      </c>
    </row>
    <row r="4763" spans="1:6" ht="15.75">
      <c r="A4763" t="str">
        <f t="shared" si="74"/>
        <v>TolochenazSolaireECS</v>
      </c>
      <c r="C4763" s="148" t="s">
        <v>577</v>
      </c>
      <c r="D4763" s="148" t="s">
        <v>240</v>
      </c>
      <c r="E4763" s="148">
        <v>121771.78461538001</v>
      </c>
      <c r="F4763" s="148" t="s">
        <v>37</v>
      </c>
    </row>
    <row r="4764" spans="1:6" ht="15.75">
      <c r="A4764" t="str">
        <f t="shared" si="74"/>
        <v>TrélexAutre agent énergétiqueECS</v>
      </c>
      <c r="C4764" s="148" t="s">
        <v>613</v>
      </c>
      <c r="D4764" s="148" t="s">
        <v>245</v>
      </c>
      <c r="E4764" s="148">
        <v>0</v>
      </c>
      <c r="F4764" s="148" t="s">
        <v>37</v>
      </c>
    </row>
    <row r="4765" spans="1:6" ht="15.75">
      <c r="A4765" t="str">
        <f t="shared" si="74"/>
        <v>TrélexBoisECS</v>
      </c>
      <c r="C4765" s="148" t="s">
        <v>613</v>
      </c>
      <c r="D4765" s="148" t="s">
        <v>66</v>
      </c>
      <c r="E4765" s="148">
        <v>251685.49019607002</v>
      </c>
      <c r="F4765" s="148" t="s">
        <v>37</v>
      </c>
    </row>
    <row r="4766" spans="1:6" ht="15.75">
      <c r="A4766" t="str">
        <f t="shared" si="74"/>
        <v>TrélexCADECS</v>
      </c>
      <c r="C4766" s="148" t="s">
        <v>613</v>
      </c>
      <c r="D4766" s="148" t="s">
        <v>242</v>
      </c>
      <c r="E4766" s="148">
        <v>8530.2000000000007</v>
      </c>
      <c r="F4766" s="148" t="s">
        <v>37</v>
      </c>
    </row>
    <row r="4767" spans="1:6" ht="15.75">
      <c r="A4767" t="str">
        <f t="shared" si="74"/>
        <v>TrélexElectricitéECS</v>
      </c>
      <c r="C4767" s="148" t="s">
        <v>613</v>
      </c>
      <c r="D4767" s="148" t="s">
        <v>97</v>
      </c>
      <c r="E4767" s="148">
        <v>585052.22222217009</v>
      </c>
      <c r="F4767" s="148" t="s">
        <v>37</v>
      </c>
    </row>
    <row r="4768" spans="1:6" ht="15.75">
      <c r="A4768" t="str">
        <f t="shared" si="74"/>
        <v>TrélexGazECS</v>
      </c>
      <c r="C4768" s="148" t="s">
        <v>613</v>
      </c>
      <c r="D4768" s="148" t="s">
        <v>239</v>
      </c>
      <c r="E4768" s="148">
        <v>30669.667519179999</v>
      </c>
      <c r="F4768" s="148" t="s">
        <v>37</v>
      </c>
    </row>
    <row r="4769" spans="1:6" ht="15.75">
      <c r="A4769" t="str">
        <f t="shared" si="74"/>
        <v>TrélexMazoutECS</v>
      </c>
      <c r="C4769" s="148" t="s">
        <v>613</v>
      </c>
      <c r="D4769" s="148" t="s">
        <v>70</v>
      </c>
      <c r="E4769" s="148">
        <v>1006094.3909502104</v>
      </c>
      <c r="F4769" s="148" t="s">
        <v>37</v>
      </c>
    </row>
    <row r="4770" spans="1:6" ht="15.75">
      <c r="A4770" t="str">
        <f t="shared" si="74"/>
        <v>TrélexNon renseignéECS</v>
      </c>
      <c r="C4770" s="148" t="s">
        <v>613</v>
      </c>
      <c r="D4770" s="148" t="s">
        <v>696</v>
      </c>
      <c r="E4770" s="148">
        <v>0</v>
      </c>
      <c r="F4770" s="148" t="s">
        <v>37</v>
      </c>
    </row>
    <row r="4771" spans="1:6" ht="15.75">
      <c r="A4771" t="str">
        <f t="shared" si="74"/>
        <v>TrélexPACECS</v>
      </c>
      <c r="C4771" s="148" t="s">
        <v>613</v>
      </c>
      <c r="D4771" s="148" t="s">
        <v>69</v>
      </c>
      <c r="E4771" s="148">
        <v>55757.788727839987</v>
      </c>
      <c r="F4771" s="148" t="s">
        <v>37</v>
      </c>
    </row>
    <row r="4772" spans="1:6" ht="15.75">
      <c r="A4772" t="str">
        <f t="shared" si="74"/>
        <v>TrélexSolaireECS</v>
      </c>
      <c r="C4772" s="148" t="s">
        <v>613</v>
      </c>
      <c r="D4772" s="148" t="s">
        <v>240</v>
      </c>
      <c r="E4772" s="148">
        <v>78689.8</v>
      </c>
      <c r="F4772" s="148" t="s">
        <v>37</v>
      </c>
    </row>
    <row r="4773" spans="1:6" ht="15.75">
      <c r="A4773" t="str">
        <f t="shared" si="74"/>
        <v>TrélexCharbonECS</v>
      </c>
      <c r="C4773" s="148" t="s">
        <v>613</v>
      </c>
      <c r="D4773" s="148" t="s">
        <v>695</v>
      </c>
      <c r="E4773" s="148" t="e">
        <v>#N/A</v>
      </c>
      <c r="F4773" s="148" t="s">
        <v>37</v>
      </c>
    </row>
    <row r="4774" spans="1:6" ht="15.75">
      <c r="A4774" t="str">
        <f t="shared" si="74"/>
        <v>TreyBoisECS</v>
      </c>
      <c r="C4774" s="148" t="s">
        <v>578</v>
      </c>
      <c r="D4774" s="148" t="s">
        <v>66</v>
      </c>
      <c r="E4774" s="148">
        <v>73313.333333330011</v>
      </c>
      <c r="F4774" s="148" t="s">
        <v>37</v>
      </c>
    </row>
    <row r="4775" spans="1:6" ht="15.75">
      <c r="A4775" t="str">
        <f t="shared" si="74"/>
        <v>TreyCADECS</v>
      </c>
      <c r="C4775" s="148" t="s">
        <v>578</v>
      </c>
      <c r="D4775" s="148" t="s">
        <v>242</v>
      </c>
      <c r="E4775" s="148">
        <v>4480</v>
      </c>
      <c r="F4775" s="148" t="s">
        <v>37</v>
      </c>
    </row>
    <row r="4776" spans="1:6" ht="15.75">
      <c r="A4776" t="str">
        <f t="shared" si="74"/>
        <v>TreyElectricitéECS</v>
      </c>
      <c r="C4776" s="148" t="s">
        <v>578</v>
      </c>
      <c r="D4776" s="148" t="s">
        <v>97</v>
      </c>
      <c r="E4776" s="148">
        <v>188060.44444443006</v>
      </c>
      <c r="F4776" s="148" t="s">
        <v>37</v>
      </c>
    </row>
    <row r="4777" spans="1:6" ht="15.75">
      <c r="A4777" t="str">
        <f t="shared" si="74"/>
        <v>TreyGazECS</v>
      </c>
      <c r="C4777" s="148" t="s">
        <v>578</v>
      </c>
      <c r="D4777" s="148" t="s">
        <v>239</v>
      </c>
      <c r="E4777" s="148">
        <v>52097.473145769996</v>
      </c>
      <c r="F4777" s="148" t="s">
        <v>37</v>
      </c>
    </row>
    <row r="4778" spans="1:6" ht="15.75">
      <c r="A4778" t="str">
        <f t="shared" si="74"/>
        <v>TreyMazoutECS</v>
      </c>
      <c r="C4778" s="148" t="s">
        <v>578</v>
      </c>
      <c r="D4778" s="148" t="s">
        <v>70</v>
      </c>
      <c r="E4778" s="148">
        <v>257147.38823529996</v>
      </c>
      <c r="F4778" s="148" t="s">
        <v>37</v>
      </c>
    </row>
    <row r="4779" spans="1:6" ht="15.75">
      <c r="A4779" t="str">
        <f t="shared" si="74"/>
        <v>TreyNon renseignéECS</v>
      </c>
      <c r="C4779" s="148" t="s">
        <v>578</v>
      </c>
      <c r="D4779" s="148" t="s">
        <v>696</v>
      </c>
      <c r="E4779" s="148">
        <v>0</v>
      </c>
      <c r="F4779" s="148" t="s">
        <v>37</v>
      </c>
    </row>
    <row r="4780" spans="1:6" ht="15.75">
      <c r="A4780" t="str">
        <f t="shared" si="74"/>
        <v>TreyPACECS</v>
      </c>
      <c r="C4780" s="148" t="s">
        <v>578</v>
      </c>
      <c r="D4780" s="148" t="s">
        <v>69</v>
      </c>
      <c r="E4780" s="148">
        <v>3508.61538462</v>
      </c>
      <c r="F4780" s="148" t="s">
        <v>37</v>
      </c>
    </row>
    <row r="4781" spans="1:6" ht="15.75">
      <c r="A4781" t="str">
        <f t="shared" si="74"/>
        <v>TreySolaireECS</v>
      </c>
      <c r="C4781" s="148" t="s">
        <v>578</v>
      </c>
      <c r="D4781" s="148" t="s">
        <v>240</v>
      </c>
      <c r="E4781" s="148">
        <v>17505.600000000002</v>
      </c>
      <c r="F4781" s="148" t="s">
        <v>37</v>
      </c>
    </row>
    <row r="4782" spans="1:6" ht="15.75">
      <c r="A4782" t="str">
        <f t="shared" si="74"/>
        <v>TreycovagnesAutre agent énergétiqueECS</v>
      </c>
      <c r="C4782" s="148" t="s">
        <v>579</v>
      </c>
      <c r="D4782" s="148" t="s">
        <v>245</v>
      </c>
      <c r="E4782" s="148" t="e">
        <v>#N/A</v>
      </c>
      <c r="F4782" s="148" t="s">
        <v>37</v>
      </c>
    </row>
    <row r="4783" spans="1:6" ht="15.75">
      <c r="A4783" t="str">
        <f t="shared" si="74"/>
        <v>TreycovagnesBoisECS</v>
      </c>
      <c r="C4783" s="148" t="s">
        <v>579</v>
      </c>
      <c r="D4783" s="148" t="s">
        <v>66</v>
      </c>
      <c r="E4783" s="148">
        <v>29523.19999999</v>
      </c>
      <c r="F4783" s="148" t="s">
        <v>37</v>
      </c>
    </row>
    <row r="4784" spans="1:6" ht="15.75">
      <c r="A4784" t="str">
        <f t="shared" si="74"/>
        <v>TreycovagnesElectricitéECS</v>
      </c>
      <c r="C4784" s="148" t="s">
        <v>579</v>
      </c>
      <c r="D4784" s="148" t="s">
        <v>97</v>
      </c>
      <c r="E4784" s="148">
        <v>169177.55555555993</v>
      </c>
      <c r="F4784" s="148" t="s">
        <v>37</v>
      </c>
    </row>
    <row r="4785" spans="1:6" ht="15.75">
      <c r="A4785" t="str">
        <f t="shared" si="74"/>
        <v>TreycovagnesGazECS</v>
      </c>
      <c r="C4785" s="148" t="s">
        <v>579</v>
      </c>
      <c r="D4785" s="148" t="s">
        <v>239</v>
      </c>
      <c r="E4785" s="148">
        <v>27265.411764710003</v>
      </c>
      <c r="F4785" s="148" t="s">
        <v>37</v>
      </c>
    </row>
    <row r="4786" spans="1:6" ht="15.75">
      <c r="A4786" t="str">
        <f t="shared" si="74"/>
        <v>TreycovagnesMazoutECS</v>
      </c>
      <c r="C4786" s="148" t="s">
        <v>579</v>
      </c>
      <c r="D4786" s="148" t="s">
        <v>70</v>
      </c>
      <c r="E4786" s="148">
        <v>332470.35294118</v>
      </c>
      <c r="F4786" s="148" t="s">
        <v>37</v>
      </c>
    </row>
    <row r="4787" spans="1:6" ht="15.75">
      <c r="A4787" t="str">
        <f t="shared" si="74"/>
        <v>TreycovagnesNon renseignéECS</v>
      </c>
      <c r="C4787" s="148" t="s">
        <v>579</v>
      </c>
      <c r="D4787" s="148" t="s">
        <v>696</v>
      </c>
      <c r="E4787" s="148">
        <v>0</v>
      </c>
      <c r="F4787" s="148" t="s">
        <v>37</v>
      </c>
    </row>
    <row r="4788" spans="1:6" ht="15.75">
      <c r="A4788" t="str">
        <f t="shared" si="74"/>
        <v>TreycovagnesPACECS</v>
      </c>
      <c r="C4788" s="148" t="s">
        <v>579</v>
      </c>
      <c r="D4788" s="148" t="s">
        <v>69</v>
      </c>
      <c r="E4788" s="148">
        <v>17899.044221480002</v>
      </c>
      <c r="F4788" s="148" t="s">
        <v>37</v>
      </c>
    </row>
    <row r="4789" spans="1:6" ht="15.75">
      <c r="A4789" t="str">
        <f t="shared" si="74"/>
        <v>TreycovagnesSolaireECS</v>
      </c>
      <c r="C4789" s="148" t="s">
        <v>579</v>
      </c>
      <c r="D4789" s="148" t="s">
        <v>240</v>
      </c>
      <c r="E4789" s="148">
        <v>26068</v>
      </c>
      <c r="F4789" s="148" t="s">
        <v>37</v>
      </c>
    </row>
    <row r="4790" spans="1:6" ht="15.75">
      <c r="A4790" t="str">
        <f t="shared" si="74"/>
        <v>Treytorrens (Payerne)BoisECS</v>
      </c>
      <c r="C4790" s="148" t="s">
        <v>580</v>
      </c>
      <c r="D4790" s="148" t="s">
        <v>66</v>
      </c>
      <c r="E4790" s="148">
        <v>67262.533333330008</v>
      </c>
      <c r="F4790" s="148" t="s">
        <v>37</v>
      </c>
    </row>
    <row r="4791" spans="1:6" ht="15.75">
      <c r="A4791" t="str">
        <f t="shared" si="74"/>
        <v>Treytorrens (Payerne)ElectricitéECS</v>
      </c>
      <c r="C4791" s="148" t="s">
        <v>580</v>
      </c>
      <c r="D4791" s="148" t="s">
        <v>97</v>
      </c>
      <c r="E4791" s="148">
        <v>70752.888888900008</v>
      </c>
      <c r="F4791" s="148" t="s">
        <v>37</v>
      </c>
    </row>
    <row r="4792" spans="1:6" ht="15.75">
      <c r="A4792" t="str">
        <f t="shared" si="74"/>
        <v>Treytorrens (Payerne)GazECS</v>
      </c>
      <c r="C4792" s="148" t="s">
        <v>580</v>
      </c>
      <c r="D4792" s="148" t="s">
        <v>239</v>
      </c>
      <c r="E4792" s="148">
        <v>27828.705882350001</v>
      </c>
      <c r="F4792" s="148" t="s">
        <v>37</v>
      </c>
    </row>
    <row r="4793" spans="1:6" ht="15.75">
      <c r="A4793" t="str">
        <f t="shared" si="74"/>
        <v>Treytorrens (Payerne)MazoutECS</v>
      </c>
      <c r="C4793" s="148" t="s">
        <v>580</v>
      </c>
      <c r="D4793" s="148" t="s">
        <v>70</v>
      </c>
      <c r="E4793" s="148">
        <v>94666.352941149991</v>
      </c>
      <c r="F4793" s="148" t="s">
        <v>37</v>
      </c>
    </row>
    <row r="4794" spans="1:6" ht="15.75">
      <c r="A4794" t="str">
        <f t="shared" si="74"/>
        <v>Treytorrens (Payerne)Non renseignéECS</v>
      </c>
      <c r="C4794" s="148" t="s">
        <v>580</v>
      </c>
      <c r="D4794" s="148" t="s">
        <v>696</v>
      </c>
      <c r="E4794" s="148">
        <v>0</v>
      </c>
      <c r="F4794" s="148" t="s">
        <v>37</v>
      </c>
    </row>
    <row r="4795" spans="1:6" ht="15.75">
      <c r="A4795" t="str">
        <f t="shared" si="74"/>
        <v>Treytorrens (Payerne)PACECS</v>
      </c>
      <c r="C4795" s="148" t="s">
        <v>580</v>
      </c>
      <c r="D4795" s="148" t="s">
        <v>69</v>
      </c>
      <c r="E4795" s="148">
        <v>1344</v>
      </c>
      <c r="F4795" s="148" t="s">
        <v>37</v>
      </c>
    </row>
    <row r="4796" spans="1:6" ht="15.75">
      <c r="A4796" t="str">
        <f t="shared" si="74"/>
        <v>Treytorrens (Payerne)SolaireECS</v>
      </c>
      <c r="C4796" s="148" t="s">
        <v>580</v>
      </c>
      <c r="D4796" s="148" t="s">
        <v>240</v>
      </c>
      <c r="E4796" s="148">
        <v>8668.7999999999993</v>
      </c>
      <c r="F4796" s="148" t="s">
        <v>37</v>
      </c>
    </row>
    <row r="4797" spans="1:6" ht="15.75">
      <c r="A4797" t="str">
        <f t="shared" si="74"/>
        <v>UrsinsBoisECS</v>
      </c>
      <c r="C4797" s="148" t="s">
        <v>581</v>
      </c>
      <c r="D4797" s="148" t="s">
        <v>66</v>
      </c>
      <c r="E4797" s="148">
        <v>70731.733333330005</v>
      </c>
      <c r="F4797" s="148" t="s">
        <v>37</v>
      </c>
    </row>
    <row r="4798" spans="1:6" ht="15.75">
      <c r="A4798" t="str">
        <f t="shared" si="74"/>
        <v>UrsinsCADECS</v>
      </c>
      <c r="C4798" s="148" t="s">
        <v>581</v>
      </c>
      <c r="D4798" s="148" t="s">
        <v>242</v>
      </c>
      <c r="E4798" s="148">
        <v>3796.8</v>
      </c>
      <c r="F4798" s="148" t="s">
        <v>37</v>
      </c>
    </row>
    <row r="4799" spans="1:6" ht="15.75">
      <c r="A4799" t="str">
        <f t="shared" si="74"/>
        <v>UrsinsElectricitéECS</v>
      </c>
      <c r="C4799" s="148" t="s">
        <v>581</v>
      </c>
      <c r="D4799" s="148" t="s">
        <v>97</v>
      </c>
      <c r="E4799" s="148">
        <v>91672.000000000015</v>
      </c>
      <c r="F4799" s="148" t="s">
        <v>37</v>
      </c>
    </row>
    <row r="4800" spans="1:6" ht="15.75">
      <c r="A4800" t="str">
        <f t="shared" si="74"/>
        <v>UrsinsGazECS</v>
      </c>
      <c r="C4800" s="148" t="s">
        <v>581</v>
      </c>
      <c r="D4800" s="148" t="s">
        <v>239</v>
      </c>
      <c r="E4800" s="148">
        <v>7965.1764705899996</v>
      </c>
      <c r="F4800" s="148" t="s">
        <v>37</v>
      </c>
    </row>
    <row r="4801" spans="1:6" ht="15.75">
      <c r="A4801" t="str">
        <f t="shared" si="74"/>
        <v>UrsinsMazoutECS</v>
      </c>
      <c r="C4801" s="148" t="s">
        <v>581</v>
      </c>
      <c r="D4801" s="148" t="s">
        <v>70</v>
      </c>
      <c r="E4801" s="148">
        <v>288660.23529411003</v>
      </c>
      <c r="F4801" s="148" t="s">
        <v>37</v>
      </c>
    </row>
    <row r="4802" spans="1:6" ht="15.75">
      <c r="A4802" t="str">
        <f t="shared" si="74"/>
        <v>UrsinsNon renseignéECS</v>
      </c>
      <c r="C4802" s="148" t="s">
        <v>581</v>
      </c>
      <c r="D4802" s="148" t="s">
        <v>696</v>
      </c>
      <c r="E4802" s="148">
        <v>0</v>
      </c>
      <c r="F4802" s="148" t="s">
        <v>37</v>
      </c>
    </row>
    <row r="4803" spans="1:6" ht="15.75">
      <c r="A4803" t="str">
        <f t="shared" si="74"/>
        <v>UrsinsPACECS</v>
      </c>
      <c r="C4803" s="148" t="s">
        <v>581</v>
      </c>
      <c r="D4803" s="148" t="s">
        <v>69</v>
      </c>
      <c r="E4803" s="148">
        <v>8025.2307692300001</v>
      </c>
      <c r="F4803" s="148" t="s">
        <v>37</v>
      </c>
    </row>
    <row r="4804" spans="1:6" ht="15.75">
      <c r="A4804" t="str">
        <f t="shared" si="74"/>
        <v>UrsinsSolaireECS</v>
      </c>
      <c r="C4804" s="148" t="s">
        <v>581</v>
      </c>
      <c r="D4804" s="148" t="s">
        <v>240</v>
      </c>
      <c r="E4804" s="148">
        <v>9408</v>
      </c>
      <c r="F4804" s="148" t="s">
        <v>37</v>
      </c>
    </row>
    <row r="4805" spans="1:6" ht="15.75">
      <c r="A4805" t="str">
        <f t="shared" si="74"/>
        <v>ValbroyeAutre agent énergétiqueECS</v>
      </c>
      <c r="C4805" s="148" t="s">
        <v>582</v>
      </c>
      <c r="D4805" s="148" t="s">
        <v>245</v>
      </c>
      <c r="E4805" s="148">
        <v>6337.8823529399997</v>
      </c>
      <c r="F4805" s="148" t="s">
        <v>37</v>
      </c>
    </row>
    <row r="4806" spans="1:6" ht="15.75">
      <c r="A4806" t="str">
        <f t="shared" si="74"/>
        <v>ValbroyeBoisECS</v>
      </c>
      <c r="C4806" s="148" t="s">
        <v>582</v>
      </c>
      <c r="D4806" s="148" t="s">
        <v>66</v>
      </c>
      <c r="E4806" s="148">
        <v>825843.6831372499</v>
      </c>
      <c r="F4806" s="148" t="s">
        <v>37</v>
      </c>
    </row>
    <row r="4807" spans="1:6" ht="15.75">
      <c r="A4807" t="str">
        <f t="shared" si="74"/>
        <v>ValbroyeCADECS</v>
      </c>
      <c r="C4807" s="148" t="s">
        <v>582</v>
      </c>
      <c r="D4807" s="148" t="s">
        <v>242</v>
      </c>
      <c r="E4807" s="148">
        <v>281521.8</v>
      </c>
      <c r="F4807" s="148" t="s">
        <v>37</v>
      </c>
    </row>
    <row r="4808" spans="1:6" ht="15.75">
      <c r="A4808" t="str">
        <f t="shared" si="74"/>
        <v>ValbroyeCharbonECS</v>
      </c>
      <c r="C4808" s="148" t="s">
        <v>582</v>
      </c>
      <c r="D4808" s="148" t="s">
        <v>695</v>
      </c>
      <c r="E4808" s="148" t="e">
        <v>#N/A</v>
      </c>
      <c r="F4808" s="148" t="s">
        <v>37</v>
      </c>
    </row>
    <row r="4809" spans="1:6" ht="15.75">
      <c r="A4809" t="str">
        <f t="shared" si="74"/>
        <v>ValbroyeElectricitéECS</v>
      </c>
      <c r="C4809" s="148" t="s">
        <v>582</v>
      </c>
      <c r="D4809" s="148" t="s">
        <v>97</v>
      </c>
      <c r="E4809" s="148">
        <v>919226.62222219002</v>
      </c>
      <c r="F4809" s="148" t="s">
        <v>37</v>
      </c>
    </row>
    <row r="4810" spans="1:6" ht="15.75">
      <c r="A4810" t="str">
        <f t="shared" si="74"/>
        <v>ValbroyeGazECS</v>
      </c>
      <c r="C4810" s="148" t="s">
        <v>582</v>
      </c>
      <c r="D4810" s="148" t="s">
        <v>239</v>
      </c>
      <c r="E4810" s="148">
        <v>658693.68030693987</v>
      </c>
      <c r="F4810" s="148" t="s">
        <v>37</v>
      </c>
    </row>
    <row r="4811" spans="1:6" ht="15.75">
      <c r="A4811" t="str">
        <f t="shared" si="74"/>
        <v>ValbroyeMazoutECS</v>
      </c>
      <c r="C4811" s="148" t="s">
        <v>582</v>
      </c>
      <c r="D4811" s="148" t="s">
        <v>70</v>
      </c>
      <c r="E4811" s="148">
        <v>2294616.3717646603</v>
      </c>
      <c r="F4811" s="148" t="s">
        <v>37</v>
      </c>
    </row>
    <row r="4812" spans="1:6" ht="15.75">
      <c r="A4812" t="str">
        <f t="shared" si="74"/>
        <v>ValbroyeNon renseignéECS</v>
      </c>
      <c r="C4812" s="148" t="s">
        <v>582</v>
      </c>
      <c r="D4812" s="148" t="s">
        <v>696</v>
      </c>
      <c r="E4812" s="148">
        <v>0</v>
      </c>
      <c r="F4812" s="148" t="s">
        <v>37</v>
      </c>
    </row>
    <row r="4813" spans="1:6" ht="15.75">
      <c r="A4813" t="str">
        <f t="shared" si="74"/>
        <v>ValbroyePACECS</v>
      </c>
      <c r="C4813" s="148" t="s">
        <v>582</v>
      </c>
      <c r="D4813" s="148" t="s">
        <v>69</v>
      </c>
      <c r="E4813" s="148">
        <v>82689.923510430002</v>
      </c>
      <c r="F4813" s="148" t="s">
        <v>37</v>
      </c>
    </row>
    <row r="4814" spans="1:6" ht="15.75">
      <c r="A4814" t="str">
        <f t="shared" si="74"/>
        <v>ValbroyeSolaireECS</v>
      </c>
      <c r="C4814" s="148" t="s">
        <v>582</v>
      </c>
      <c r="D4814" s="148" t="s">
        <v>240</v>
      </c>
      <c r="E4814" s="148">
        <v>318598.55999999994</v>
      </c>
      <c r="F4814" s="148" t="s">
        <v>37</v>
      </c>
    </row>
    <row r="4815" spans="1:6" ht="15.75">
      <c r="A4815" t="str">
        <f t="shared" si="74"/>
        <v>Valeyres-sous-MontagnyBoisECS</v>
      </c>
      <c r="C4815" s="148" t="s">
        <v>612</v>
      </c>
      <c r="D4815" s="148" t="s">
        <v>66</v>
      </c>
      <c r="E4815" s="148">
        <v>45379.325490200004</v>
      </c>
      <c r="F4815" s="148" t="s">
        <v>37</v>
      </c>
    </row>
    <row r="4816" spans="1:6" ht="15.75">
      <c r="A4816" t="str">
        <f t="shared" si="74"/>
        <v>Valeyres-sous-MontagnyElectricitéECS</v>
      </c>
      <c r="C4816" s="148" t="s">
        <v>612</v>
      </c>
      <c r="D4816" s="148" t="s">
        <v>97</v>
      </c>
      <c r="E4816" s="148">
        <v>275350.44444446999</v>
      </c>
      <c r="F4816" s="148" t="s">
        <v>37</v>
      </c>
    </row>
    <row r="4817" spans="1:6" ht="15.75">
      <c r="A4817" t="str">
        <f t="shared" si="74"/>
        <v>Valeyres-sous-MontagnyGazECS</v>
      </c>
      <c r="C4817" s="148" t="s">
        <v>612</v>
      </c>
      <c r="D4817" s="148" t="s">
        <v>239</v>
      </c>
      <c r="E4817" s="148">
        <v>123180.52173911998</v>
      </c>
      <c r="F4817" s="148" t="s">
        <v>37</v>
      </c>
    </row>
    <row r="4818" spans="1:6" ht="15.75">
      <c r="A4818" t="str">
        <f t="shared" si="74"/>
        <v>Valeyres-sous-MontagnyMazoutECS</v>
      </c>
      <c r="C4818" s="148" t="s">
        <v>612</v>
      </c>
      <c r="D4818" s="148" t="s">
        <v>70</v>
      </c>
      <c r="E4818" s="148">
        <v>496113.88235295989</v>
      </c>
      <c r="F4818" s="148" t="s">
        <v>37</v>
      </c>
    </row>
    <row r="4819" spans="1:6" ht="15.75">
      <c r="A4819" t="str">
        <f t="shared" ref="A4819:A4882" si="75">_xlfn.CONCAT(C4819,D4819,F4819)</f>
        <v>Valeyres-sous-MontagnyNon renseignéECS</v>
      </c>
      <c r="C4819" s="148" t="s">
        <v>612</v>
      </c>
      <c r="D4819" s="148" t="s">
        <v>696</v>
      </c>
      <c r="E4819" s="148">
        <v>0</v>
      </c>
      <c r="F4819" s="148" t="s">
        <v>37</v>
      </c>
    </row>
    <row r="4820" spans="1:6" ht="15.75">
      <c r="A4820" t="str">
        <f t="shared" si="75"/>
        <v>Valeyres-sous-MontagnyPACECS</v>
      </c>
      <c r="C4820" s="148" t="s">
        <v>612</v>
      </c>
      <c r="D4820" s="148" t="s">
        <v>69</v>
      </c>
      <c r="E4820" s="148">
        <v>9709.63210703</v>
      </c>
      <c r="F4820" s="148" t="s">
        <v>37</v>
      </c>
    </row>
    <row r="4821" spans="1:6" ht="15.75">
      <c r="A4821" t="str">
        <f t="shared" si="75"/>
        <v>Valeyres-sous-MontagnyCADECS</v>
      </c>
      <c r="C4821" s="148" t="s">
        <v>612</v>
      </c>
      <c r="D4821" s="148" t="s">
        <v>242</v>
      </c>
      <c r="E4821" s="148">
        <v>4188.8</v>
      </c>
      <c r="F4821" s="148" t="s">
        <v>37</v>
      </c>
    </row>
    <row r="4822" spans="1:6" ht="15.75">
      <c r="A4822" t="str">
        <f t="shared" si="75"/>
        <v>Valeyres-sous-MontagnySolaireECS</v>
      </c>
      <c r="C4822" s="148" t="s">
        <v>612</v>
      </c>
      <c r="D4822" s="148" t="s">
        <v>240</v>
      </c>
      <c r="E4822" s="148">
        <v>36653.4</v>
      </c>
      <c r="F4822" s="148" t="s">
        <v>37</v>
      </c>
    </row>
    <row r="4823" spans="1:6" ht="15.75">
      <c r="A4823" t="str">
        <f t="shared" si="75"/>
        <v>Valeyres-sous-RancesBoisECS</v>
      </c>
      <c r="C4823" s="148" t="s">
        <v>611</v>
      </c>
      <c r="D4823" s="148" t="s">
        <v>66</v>
      </c>
      <c r="E4823" s="148">
        <v>95625.775686279987</v>
      </c>
      <c r="F4823" s="148" t="s">
        <v>37</v>
      </c>
    </row>
    <row r="4824" spans="1:6" ht="15.75">
      <c r="A4824" t="str">
        <f t="shared" si="75"/>
        <v>Valeyres-sous-RancesElectricitéECS</v>
      </c>
      <c r="C4824" s="148" t="s">
        <v>611</v>
      </c>
      <c r="D4824" s="148" t="s">
        <v>97</v>
      </c>
      <c r="E4824" s="148">
        <v>383428.88888887002</v>
      </c>
      <c r="F4824" s="148" t="s">
        <v>37</v>
      </c>
    </row>
    <row r="4825" spans="1:6" ht="15.75">
      <c r="A4825" t="str">
        <f t="shared" si="75"/>
        <v>Valeyres-sous-RancesGazECS</v>
      </c>
      <c r="C4825" s="148" t="s">
        <v>611</v>
      </c>
      <c r="D4825" s="148" t="s">
        <v>239</v>
      </c>
      <c r="E4825" s="148">
        <v>140231.94884909</v>
      </c>
      <c r="F4825" s="148" t="s">
        <v>37</v>
      </c>
    </row>
    <row r="4826" spans="1:6" ht="15.75">
      <c r="A4826" t="str">
        <f t="shared" si="75"/>
        <v>Valeyres-sous-RancesMazoutECS</v>
      </c>
      <c r="C4826" s="148" t="s">
        <v>611</v>
      </c>
      <c r="D4826" s="148" t="s">
        <v>70</v>
      </c>
      <c r="E4826" s="148">
        <v>283165.64705882006</v>
      </c>
      <c r="F4826" s="148" t="s">
        <v>37</v>
      </c>
    </row>
    <row r="4827" spans="1:6" ht="15.75">
      <c r="A4827" t="str">
        <f t="shared" si="75"/>
        <v>Valeyres-sous-RancesNon renseignéECS</v>
      </c>
      <c r="C4827" s="148" t="s">
        <v>611</v>
      </c>
      <c r="D4827" s="148" t="s">
        <v>696</v>
      </c>
      <c r="E4827" s="148">
        <v>0</v>
      </c>
      <c r="F4827" s="148" t="s">
        <v>37</v>
      </c>
    </row>
    <row r="4828" spans="1:6" ht="15.75">
      <c r="A4828" t="str">
        <f t="shared" si="75"/>
        <v>Valeyres-sous-RancesPACECS</v>
      </c>
      <c r="C4828" s="148" t="s">
        <v>611</v>
      </c>
      <c r="D4828" s="148" t="s">
        <v>69</v>
      </c>
      <c r="E4828" s="148">
        <v>8382.8628762500011</v>
      </c>
      <c r="F4828" s="148" t="s">
        <v>37</v>
      </c>
    </row>
    <row r="4829" spans="1:6" ht="15.75">
      <c r="A4829" t="str">
        <f t="shared" si="75"/>
        <v>Valeyres-sous-RancesSolaireECS</v>
      </c>
      <c r="C4829" s="148" t="s">
        <v>611</v>
      </c>
      <c r="D4829" s="148" t="s">
        <v>240</v>
      </c>
      <c r="E4829" s="148">
        <v>53510.1</v>
      </c>
      <c r="F4829" s="148" t="s">
        <v>37</v>
      </c>
    </row>
    <row r="4830" spans="1:6" ht="15.75">
      <c r="A4830" t="str">
        <f t="shared" si="75"/>
        <v>Valeyres-sous-UrsinsBoisECS</v>
      </c>
      <c r="C4830" s="148" t="s">
        <v>610</v>
      </c>
      <c r="D4830" s="148" t="s">
        <v>66</v>
      </c>
      <c r="E4830" s="148">
        <v>24253.92941176</v>
      </c>
      <c r="F4830" s="148" t="s">
        <v>37</v>
      </c>
    </row>
    <row r="4831" spans="1:6" ht="15.75">
      <c r="A4831" t="str">
        <f t="shared" si="75"/>
        <v>Valeyres-sous-UrsinsElectricitéECS</v>
      </c>
      <c r="C4831" s="148" t="s">
        <v>610</v>
      </c>
      <c r="D4831" s="148" t="s">
        <v>97</v>
      </c>
      <c r="E4831" s="148">
        <v>221144.36601304996</v>
      </c>
      <c r="F4831" s="148" t="s">
        <v>37</v>
      </c>
    </row>
    <row r="4832" spans="1:6" ht="15.75">
      <c r="A4832" t="str">
        <f t="shared" si="75"/>
        <v>Valeyres-sous-UrsinsMazoutECS</v>
      </c>
      <c r="C4832" s="148" t="s">
        <v>610</v>
      </c>
      <c r="D4832" s="148" t="s">
        <v>70</v>
      </c>
      <c r="E4832" s="148">
        <v>170856.00000001001</v>
      </c>
      <c r="F4832" s="148" t="s">
        <v>37</v>
      </c>
    </row>
    <row r="4833" spans="1:6" ht="15.75">
      <c r="A4833" t="str">
        <f t="shared" si="75"/>
        <v>Valeyres-sous-UrsinsNon renseignéECS</v>
      </c>
      <c r="C4833" s="148" t="s">
        <v>610</v>
      </c>
      <c r="D4833" s="148" t="s">
        <v>696</v>
      </c>
      <c r="E4833" s="148">
        <v>0</v>
      </c>
      <c r="F4833" s="148" t="s">
        <v>37</v>
      </c>
    </row>
    <row r="4834" spans="1:6" ht="15.75">
      <c r="A4834" t="str">
        <f t="shared" si="75"/>
        <v>Valeyres-sous-UrsinsPACECS</v>
      </c>
      <c r="C4834" s="148" t="s">
        <v>610</v>
      </c>
      <c r="D4834" s="148" t="s">
        <v>69</v>
      </c>
      <c r="E4834" s="148">
        <v>6511.7150997099998</v>
      </c>
      <c r="F4834" s="148" t="s">
        <v>37</v>
      </c>
    </row>
    <row r="4835" spans="1:6" ht="15.75">
      <c r="A4835" t="str">
        <f t="shared" si="75"/>
        <v>Valeyres-sous-UrsinsSolaireECS</v>
      </c>
      <c r="C4835" s="148" t="s">
        <v>610</v>
      </c>
      <c r="D4835" s="148" t="s">
        <v>240</v>
      </c>
      <c r="E4835" s="148">
        <v>24808.000000000004</v>
      </c>
      <c r="F4835" s="148" t="s">
        <v>37</v>
      </c>
    </row>
    <row r="4836" spans="1:6" ht="15.75">
      <c r="A4836" t="str">
        <f t="shared" si="75"/>
        <v>VallorbeBoisECS</v>
      </c>
      <c r="C4836" s="148" t="s">
        <v>583</v>
      </c>
      <c r="D4836" s="148" t="s">
        <v>66</v>
      </c>
      <c r="E4836" s="148">
        <v>145089.35686274996</v>
      </c>
      <c r="F4836" s="148" t="s">
        <v>37</v>
      </c>
    </row>
    <row r="4837" spans="1:6" ht="15.75">
      <c r="A4837" t="str">
        <f t="shared" si="75"/>
        <v>VallorbeCADECS</v>
      </c>
      <c r="C4837" s="148" t="s">
        <v>583</v>
      </c>
      <c r="D4837" s="148" t="s">
        <v>242</v>
      </c>
      <c r="E4837" s="148">
        <v>5682.6</v>
      </c>
      <c r="F4837" s="148" t="s">
        <v>37</v>
      </c>
    </row>
    <row r="4838" spans="1:6" ht="15.75">
      <c r="A4838" t="str">
        <f t="shared" si="75"/>
        <v>VallorbeElectricitéECS</v>
      </c>
      <c r="C4838" s="148" t="s">
        <v>583</v>
      </c>
      <c r="D4838" s="148" t="s">
        <v>97</v>
      </c>
      <c r="E4838" s="148">
        <v>1024674.3111110698</v>
      </c>
      <c r="F4838" s="148" t="s">
        <v>37</v>
      </c>
    </row>
    <row r="4839" spans="1:6" ht="15.75">
      <c r="A4839" t="str">
        <f t="shared" si="75"/>
        <v>VallorbeGazECS</v>
      </c>
      <c r="C4839" s="148" t="s">
        <v>583</v>
      </c>
      <c r="D4839" s="148" t="s">
        <v>239</v>
      </c>
      <c r="E4839" s="148">
        <v>1106935.9053708795</v>
      </c>
      <c r="F4839" s="148" t="s">
        <v>37</v>
      </c>
    </row>
    <row r="4840" spans="1:6" ht="15.75">
      <c r="A4840" t="str">
        <f t="shared" si="75"/>
        <v>VallorbeMazoutECS</v>
      </c>
      <c r="C4840" s="148" t="s">
        <v>583</v>
      </c>
      <c r="D4840" s="148" t="s">
        <v>70</v>
      </c>
      <c r="E4840" s="148">
        <v>2177248.4737967607</v>
      </c>
      <c r="F4840" s="148" t="s">
        <v>37</v>
      </c>
    </row>
    <row r="4841" spans="1:6" ht="15.75">
      <c r="A4841" t="str">
        <f t="shared" si="75"/>
        <v>VallorbeNon renseignéECS</v>
      </c>
      <c r="C4841" s="148" t="s">
        <v>583</v>
      </c>
      <c r="D4841" s="148" t="s">
        <v>696</v>
      </c>
      <c r="E4841" s="148">
        <v>0</v>
      </c>
      <c r="F4841" s="148" t="s">
        <v>37</v>
      </c>
    </row>
    <row r="4842" spans="1:6" ht="15.75">
      <c r="A4842" t="str">
        <f t="shared" si="75"/>
        <v>VallorbePACECS</v>
      </c>
      <c r="C4842" s="148" t="s">
        <v>583</v>
      </c>
      <c r="D4842" s="148" t="s">
        <v>69</v>
      </c>
      <c r="E4842" s="148">
        <v>44200.540133769995</v>
      </c>
      <c r="F4842" s="148" t="s">
        <v>37</v>
      </c>
    </row>
    <row r="4843" spans="1:6" ht="15.75">
      <c r="A4843" t="str">
        <f t="shared" si="75"/>
        <v>VallorbeSolaireECS</v>
      </c>
      <c r="C4843" s="148" t="s">
        <v>583</v>
      </c>
      <c r="D4843" s="148" t="s">
        <v>240</v>
      </c>
      <c r="E4843" s="148">
        <v>377913.9</v>
      </c>
      <c r="F4843" s="148" t="s">
        <v>37</v>
      </c>
    </row>
    <row r="4844" spans="1:6" ht="15.75">
      <c r="A4844" t="str">
        <f t="shared" si="75"/>
        <v>VaulionBoisECS</v>
      </c>
      <c r="C4844" s="148" t="s">
        <v>584</v>
      </c>
      <c r="D4844" s="148" t="s">
        <v>66</v>
      </c>
      <c r="E4844" s="148">
        <v>258466.87999999998</v>
      </c>
      <c r="F4844" s="148" t="s">
        <v>37</v>
      </c>
    </row>
    <row r="4845" spans="1:6" ht="15.75">
      <c r="A4845" t="str">
        <f t="shared" si="75"/>
        <v>VaulionElectricitéECS</v>
      </c>
      <c r="C4845" s="148" t="s">
        <v>584</v>
      </c>
      <c r="D4845" s="148" t="s">
        <v>97</v>
      </c>
      <c r="E4845" s="148">
        <v>289660.31111111998</v>
      </c>
      <c r="F4845" s="148" t="s">
        <v>37</v>
      </c>
    </row>
    <row r="4846" spans="1:6" ht="15.75">
      <c r="A4846" t="str">
        <f t="shared" si="75"/>
        <v>VaulionGazECS</v>
      </c>
      <c r="C4846" s="148" t="s">
        <v>584</v>
      </c>
      <c r="D4846" s="148" t="s">
        <v>239</v>
      </c>
      <c r="E4846" s="148">
        <v>125561.81074167999</v>
      </c>
      <c r="F4846" s="148" t="s">
        <v>37</v>
      </c>
    </row>
    <row r="4847" spans="1:6" ht="15.75">
      <c r="A4847" t="str">
        <f t="shared" si="75"/>
        <v>VaulionMazoutECS</v>
      </c>
      <c r="C4847" s="148" t="s">
        <v>584</v>
      </c>
      <c r="D4847" s="148" t="s">
        <v>70</v>
      </c>
      <c r="E4847" s="148">
        <v>601145.17647058005</v>
      </c>
      <c r="F4847" s="148" t="s">
        <v>37</v>
      </c>
    </row>
    <row r="4848" spans="1:6" ht="15.75">
      <c r="A4848" t="str">
        <f t="shared" si="75"/>
        <v>VaulionNon renseignéECS</v>
      </c>
      <c r="C4848" s="148" t="s">
        <v>584</v>
      </c>
      <c r="D4848" s="148" t="s">
        <v>696</v>
      </c>
      <c r="E4848" s="148">
        <v>0</v>
      </c>
      <c r="F4848" s="148" t="s">
        <v>37</v>
      </c>
    </row>
    <row r="4849" spans="1:6" ht="15.75">
      <c r="A4849" t="str">
        <f t="shared" si="75"/>
        <v>VaulionPACECS</v>
      </c>
      <c r="C4849" s="148" t="s">
        <v>584</v>
      </c>
      <c r="D4849" s="148" t="s">
        <v>69</v>
      </c>
      <c r="E4849" s="148">
        <v>7027.1571906299996</v>
      </c>
      <c r="F4849" s="148" t="s">
        <v>37</v>
      </c>
    </row>
    <row r="4850" spans="1:6" ht="15.75">
      <c r="A4850" t="str">
        <f t="shared" si="75"/>
        <v>VaulionSolaireECS</v>
      </c>
      <c r="C4850" s="148" t="s">
        <v>584</v>
      </c>
      <c r="D4850" s="148" t="s">
        <v>240</v>
      </c>
      <c r="E4850" s="148">
        <v>60891.040000000001</v>
      </c>
      <c r="F4850" s="148" t="s">
        <v>37</v>
      </c>
    </row>
    <row r="4851" spans="1:6" ht="15.75">
      <c r="A4851" t="str">
        <f t="shared" si="75"/>
        <v>Vaux-sur-MorgesBoisECS</v>
      </c>
      <c r="C4851" s="148" t="s">
        <v>609</v>
      </c>
      <c r="D4851" s="148" t="s">
        <v>66</v>
      </c>
      <c r="E4851" s="148">
        <v>69790.933333330002</v>
      </c>
      <c r="F4851" s="148" t="s">
        <v>37</v>
      </c>
    </row>
    <row r="4852" spans="1:6" ht="15.75">
      <c r="A4852" t="str">
        <f t="shared" si="75"/>
        <v>Vaux-sur-MorgesCADECS</v>
      </c>
      <c r="C4852" s="148" t="s">
        <v>609</v>
      </c>
      <c r="D4852" s="148" t="s">
        <v>242</v>
      </c>
      <c r="E4852" s="148" t="e">
        <v>#N/A</v>
      </c>
      <c r="F4852" s="148" t="s">
        <v>37</v>
      </c>
    </row>
    <row r="4853" spans="1:6" ht="15.75">
      <c r="A4853" t="str">
        <f t="shared" si="75"/>
        <v>Vaux-sur-MorgesElectricitéECS</v>
      </c>
      <c r="C4853" s="148" t="s">
        <v>609</v>
      </c>
      <c r="D4853" s="148" t="s">
        <v>97</v>
      </c>
      <c r="E4853" s="148">
        <v>47152</v>
      </c>
      <c r="F4853" s="148" t="s">
        <v>37</v>
      </c>
    </row>
    <row r="4854" spans="1:6" ht="15.75">
      <c r="A4854" t="str">
        <f t="shared" si="75"/>
        <v>Vaux-sur-MorgesMazoutECS</v>
      </c>
      <c r="C4854" s="148" t="s">
        <v>609</v>
      </c>
      <c r="D4854" s="148" t="s">
        <v>70</v>
      </c>
      <c r="E4854" s="148">
        <v>145343.05882353004</v>
      </c>
      <c r="F4854" s="148" t="s">
        <v>37</v>
      </c>
    </row>
    <row r="4855" spans="1:6" ht="15.75">
      <c r="A4855" t="str">
        <f t="shared" si="75"/>
        <v>Vaux-sur-MorgesNon renseignéECS</v>
      </c>
      <c r="C4855" s="148" t="s">
        <v>609</v>
      </c>
      <c r="D4855" s="148" t="s">
        <v>696</v>
      </c>
      <c r="E4855" s="148">
        <v>0</v>
      </c>
      <c r="F4855" s="148" t="s">
        <v>37</v>
      </c>
    </row>
    <row r="4856" spans="1:6" ht="15.75">
      <c r="A4856" t="str">
        <f t="shared" si="75"/>
        <v>Vaux-sur-MorgesPACECS</v>
      </c>
      <c r="C4856" s="148" t="s">
        <v>609</v>
      </c>
      <c r="D4856" s="148" t="s">
        <v>69</v>
      </c>
      <c r="E4856" s="148">
        <v>3456.9230769199999</v>
      </c>
      <c r="F4856" s="148" t="s">
        <v>37</v>
      </c>
    </row>
    <row r="4857" spans="1:6" ht="15.75">
      <c r="A4857" t="str">
        <f t="shared" si="75"/>
        <v>Vaux-sur-MorgesSolaireECS</v>
      </c>
      <c r="C4857" s="148" t="s">
        <v>609</v>
      </c>
      <c r="D4857" s="148" t="s">
        <v>240</v>
      </c>
      <c r="E4857" s="148">
        <v>16046.8</v>
      </c>
      <c r="F4857" s="148" t="s">
        <v>37</v>
      </c>
    </row>
    <row r="4858" spans="1:6" ht="15.75">
      <c r="A4858" t="str">
        <f t="shared" si="75"/>
        <v>VeveyAutre agent énergétiqueECS</v>
      </c>
      <c r="C4858" s="148" t="s">
        <v>585</v>
      </c>
      <c r="D4858" s="148" t="s">
        <v>245</v>
      </c>
      <c r="E4858" s="148">
        <v>159224.47058824002</v>
      </c>
      <c r="F4858" s="148" t="s">
        <v>37</v>
      </c>
    </row>
    <row r="4859" spans="1:6" ht="15.75">
      <c r="A4859" t="str">
        <f t="shared" si="75"/>
        <v>VeveyBoisECS</v>
      </c>
      <c r="C4859" s="148" t="s">
        <v>585</v>
      </c>
      <c r="D4859" s="148" t="s">
        <v>66</v>
      </c>
      <c r="E4859" s="148">
        <v>639470.50039217027</v>
      </c>
      <c r="F4859" s="148" t="s">
        <v>37</v>
      </c>
    </row>
    <row r="4860" spans="1:6" ht="15.75">
      <c r="A4860" t="str">
        <f t="shared" si="75"/>
        <v>VeveyCADECS</v>
      </c>
      <c r="C4860" s="148" t="s">
        <v>585</v>
      </c>
      <c r="D4860" s="148" t="s">
        <v>242</v>
      </c>
      <c r="E4860" s="148">
        <v>706577.2</v>
      </c>
      <c r="F4860" s="148" t="s">
        <v>37</v>
      </c>
    </row>
    <row r="4861" spans="1:6" ht="15.75">
      <c r="A4861" t="str">
        <f t="shared" si="75"/>
        <v>VeveyElectricitéECS</v>
      </c>
      <c r="C4861" s="148" t="s">
        <v>585</v>
      </c>
      <c r="D4861" s="148" t="s">
        <v>97</v>
      </c>
      <c r="E4861" s="148">
        <v>1775683.7777777899</v>
      </c>
      <c r="F4861" s="148" t="s">
        <v>37</v>
      </c>
    </row>
    <row r="4862" spans="1:6" ht="15.75">
      <c r="A4862" t="str">
        <f t="shared" si="75"/>
        <v>VeveyGazECS</v>
      </c>
      <c r="C4862" s="148" t="s">
        <v>585</v>
      </c>
      <c r="D4862" s="148" t="s">
        <v>239</v>
      </c>
      <c r="E4862" s="148">
        <v>13740951.839897756</v>
      </c>
      <c r="F4862" s="148" t="s">
        <v>37</v>
      </c>
    </row>
    <row r="4863" spans="1:6" ht="15.75">
      <c r="A4863" t="str">
        <f t="shared" si="75"/>
        <v>VeveyMazoutECS</v>
      </c>
      <c r="C4863" s="148" t="s">
        <v>585</v>
      </c>
      <c r="D4863" s="148" t="s">
        <v>70</v>
      </c>
      <c r="E4863" s="148">
        <v>10064805.507157641</v>
      </c>
      <c r="F4863" s="148" t="s">
        <v>37</v>
      </c>
    </row>
    <row r="4864" spans="1:6" ht="15.75">
      <c r="A4864" t="str">
        <f t="shared" si="75"/>
        <v>VeveyNon renseignéECS</v>
      </c>
      <c r="C4864" s="148" t="s">
        <v>585</v>
      </c>
      <c r="D4864" s="148" t="s">
        <v>696</v>
      </c>
      <c r="E4864" s="148">
        <v>0</v>
      </c>
      <c r="F4864" s="148" t="s">
        <v>37</v>
      </c>
    </row>
    <row r="4865" spans="1:6" ht="15.75">
      <c r="A4865" t="str">
        <f t="shared" si="75"/>
        <v>VeveyPACECS</v>
      </c>
      <c r="C4865" s="148" t="s">
        <v>585</v>
      </c>
      <c r="D4865" s="148" t="s">
        <v>69</v>
      </c>
      <c r="E4865" s="148">
        <v>316242.00445932004</v>
      </c>
      <c r="F4865" s="148" t="s">
        <v>37</v>
      </c>
    </row>
    <row r="4866" spans="1:6" ht="15.75">
      <c r="A4866" t="str">
        <f t="shared" si="75"/>
        <v>VeveySolaireECS</v>
      </c>
      <c r="C4866" s="148" t="s">
        <v>585</v>
      </c>
      <c r="D4866" s="148" t="s">
        <v>240</v>
      </c>
      <c r="E4866" s="148">
        <v>502135.19999999995</v>
      </c>
      <c r="F4866" s="148" t="s">
        <v>37</v>
      </c>
    </row>
    <row r="4867" spans="1:6" ht="15.75">
      <c r="A4867" t="str">
        <f t="shared" si="75"/>
        <v>VeytauxBoisECS</v>
      </c>
      <c r="C4867" s="148" t="s">
        <v>586</v>
      </c>
      <c r="D4867" s="148" t="s">
        <v>66</v>
      </c>
      <c r="E4867" s="148">
        <v>55294.246274519995</v>
      </c>
      <c r="F4867" s="148" t="s">
        <v>37</v>
      </c>
    </row>
    <row r="4868" spans="1:6" ht="15.75">
      <c r="A4868" t="str">
        <f t="shared" si="75"/>
        <v>VeytauxElectricitéECS</v>
      </c>
      <c r="C4868" s="148" t="s">
        <v>586</v>
      </c>
      <c r="D4868" s="148" t="s">
        <v>97</v>
      </c>
      <c r="E4868" s="148">
        <v>193570.22222221998</v>
      </c>
      <c r="F4868" s="148" t="s">
        <v>37</v>
      </c>
    </row>
    <row r="4869" spans="1:6" ht="15.75">
      <c r="A4869" t="str">
        <f t="shared" si="75"/>
        <v>VeytauxGazECS</v>
      </c>
      <c r="C4869" s="148" t="s">
        <v>586</v>
      </c>
      <c r="D4869" s="148" t="s">
        <v>239</v>
      </c>
      <c r="E4869" s="148">
        <v>852135.47570331977</v>
      </c>
      <c r="F4869" s="148" t="s">
        <v>37</v>
      </c>
    </row>
    <row r="4870" spans="1:6" ht="15.75">
      <c r="A4870" t="str">
        <f t="shared" si="75"/>
        <v>VeytauxMazoutECS</v>
      </c>
      <c r="C4870" s="148" t="s">
        <v>586</v>
      </c>
      <c r="D4870" s="148" t="s">
        <v>70</v>
      </c>
      <c r="E4870" s="148">
        <v>606048.47058824007</v>
      </c>
      <c r="F4870" s="148" t="s">
        <v>37</v>
      </c>
    </row>
    <row r="4871" spans="1:6" ht="15.75">
      <c r="A4871" t="str">
        <f t="shared" si="75"/>
        <v>VeytauxPACECS</v>
      </c>
      <c r="C4871" s="148" t="s">
        <v>586</v>
      </c>
      <c r="D4871" s="148" t="s">
        <v>69</v>
      </c>
      <c r="E4871" s="148">
        <v>5266.5284281000004</v>
      </c>
      <c r="F4871" s="148" t="s">
        <v>37</v>
      </c>
    </row>
    <row r="4872" spans="1:6" ht="15.75">
      <c r="A4872" t="str">
        <f t="shared" si="75"/>
        <v>VeytauxSolaireECS</v>
      </c>
      <c r="C4872" s="148" t="s">
        <v>586</v>
      </c>
      <c r="D4872" s="148" t="s">
        <v>240</v>
      </c>
      <c r="E4872" s="148">
        <v>29075.200000000001</v>
      </c>
      <c r="F4872" s="148" t="s">
        <v>37</v>
      </c>
    </row>
    <row r="4873" spans="1:6" ht="15.75">
      <c r="A4873" t="str">
        <f t="shared" si="75"/>
        <v>VeytauxCADECS</v>
      </c>
      <c r="C4873" s="148" t="s">
        <v>586</v>
      </c>
      <c r="D4873" s="148" t="s">
        <v>242</v>
      </c>
      <c r="E4873" s="148">
        <v>3124.8</v>
      </c>
      <c r="F4873" s="148" t="s">
        <v>37</v>
      </c>
    </row>
    <row r="4874" spans="1:6" ht="15.75">
      <c r="A4874" t="str">
        <f t="shared" si="75"/>
        <v>VichBoisECS</v>
      </c>
      <c r="C4874" s="148" t="s">
        <v>587</v>
      </c>
      <c r="D4874" s="148" t="s">
        <v>66</v>
      </c>
      <c r="E4874" s="148">
        <v>70769.066666669998</v>
      </c>
      <c r="F4874" s="148" t="s">
        <v>37</v>
      </c>
    </row>
    <row r="4875" spans="1:6" ht="15.75">
      <c r="A4875" t="str">
        <f t="shared" si="75"/>
        <v>VichElectricitéECS</v>
      </c>
      <c r="C4875" s="148" t="s">
        <v>587</v>
      </c>
      <c r="D4875" s="148" t="s">
        <v>97</v>
      </c>
      <c r="E4875" s="148">
        <v>319286.80000002997</v>
      </c>
      <c r="F4875" s="148" t="s">
        <v>37</v>
      </c>
    </row>
    <row r="4876" spans="1:6" ht="15.75">
      <c r="A4876" t="str">
        <f t="shared" si="75"/>
        <v>VichGazECS</v>
      </c>
      <c r="C4876" s="148" t="s">
        <v>587</v>
      </c>
      <c r="D4876" s="148" t="s">
        <v>239</v>
      </c>
      <c r="E4876" s="148">
        <v>250254.69769818999</v>
      </c>
      <c r="F4876" s="148" t="s">
        <v>37</v>
      </c>
    </row>
    <row r="4877" spans="1:6" ht="15.75">
      <c r="A4877" t="str">
        <f t="shared" si="75"/>
        <v>VichMazoutECS</v>
      </c>
      <c r="C4877" s="148" t="s">
        <v>587</v>
      </c>
      <c r="D4877" s="148" t="s">
        <v>70</v>
      </c>
      <c r="E4877" s="148">
        <v>408264.37647059013</v>
      </c>
      <c r="F4877" s="148" t="s">
        <v>37</v>
      </c>
    </row>
    <row r="4878" spans="1:6" ht="15.75">
      <c r="A4878" t="str">
        <f t="shared" si="75"/>
        <v>VichNon renseignéECS</v>
      </c>
      <c r="C4878" s="148" t="s">
        <v>587</v>
      </c>
      <c r="D4878" s="148" t="s">
        <v>696</v>
      </c>
      <c r="E4878" s="148">
        <v>0</v>
      </c>
      <c r="F4878" s="148" t="s">
        <v>37</v>
      </c>
    </row>
    <row r="4879" spans="1:6" ht="15.75">
      <c r="A4879" t="str">
        <f t="shared" si="75"/>
        <v>VichPACECS</v>
      </c>
      <c r="C4879" s="148" t="s">
        <v>587</v>
      </c>
      <c r="D4879" s="148" t="s">
        <v>69</v>
      </c>
      <c r="E4879" s="148">
        <v>122874.43106652997</v>
      </c>
      <c r="F4879" s="148" t="s">
        <v>37</v>
      </c>
    </row>
    <row r="4880" spans="1:6" ht="15.75">
      <c r="A4880" t="str">
        <f t="shared" si="75"/>
        <v>VichSolaireECS</v>
      </c>
      <c r="C4880" s="148" t="s">
        <v>587</v>
      </c>
      <c r="D4880" s="148" t="s">
        <v>240</v>
      </c>
      <c r="E4880" s="148">
        <v>266495.59999999998</v>
      </c>
      <c r="F4880" s="148" t="s">
        <v>37</v>
      </c>
    </row>
    <row r="4881" spans="1:6" ht="15.75">
      <c r="A4881" t="str">
        <f t="shared" si="75"/>
        <v>Villars-EpeneyBoisECS</v>
      </c>
      <c r="C4881" s="148" t="s">
        <v>588</v>
      </c>
      <c r="D4881" s="148" t="s">
        <v>66</v>
      </c>
      <c r="E4881" s="148">
        <v>27178.007843139996</v>
      </c>
      <c r="F4881" s="148" t="s">
        <v>37</v>
      </c>
    </row>
    <row r="4882" spans="1:6" ht="15.75">
      <c r="A4882" t="str">
        <f t="shared" si="75"/>
        <v>Villars-EpeneyElectricitéECS</v>
      </c>
      <c r="C4882" s="148" t="s">
        <v>588</v>
      </c>
      <c r="D4882" s="148" t="s">
        <v>97</v>
      </c>
      <c r="E4882" s="148">
        <v>3708.4444444500004</v>
      </c>
      <c r="F4882" s="148" t="s">
        <v>37</v>
      </c>
    </row>
    <row r="4883" spans="1:6" ht="15.75">
      <c r="A4883" t="str">
        <f t="shared" ref="A4883:A4946" si="76">_xlfn.CONCAT(C4883,D4883,F4883)</f>
        <v>Villars-EpeneyGazECS</v>
      </c>
      <c r="C4883" s="148" t="s">
        <v>588</v>
      </c>
      <c r="D4883" s="148" t="s">
        <v>239</v>
      </c>
      <c r="E4883" s="148">
        <v>15927.05882353</v>
      </c>
      <c r="F4883" s="148" t="s">
        <v>37</v>
      </c>
    </row>
    <row r="4884" spans="1:6" ht="15.75">
      <c r="A4884" t="str">
        <f t="shared" si="76"/>
        <v>Villars-EpeneyMazoutECS</v>
      </c>
      <c r="C4884" s="148" t="s">
        <v>588</v>
      </c>
      <c r="D4884" s="148" t="s">
        <v>70</v>
      </c>
      <c r="E4884" s="148">
        <v>93238.352941210003</v>
      </c>
      <c r="F4884" s="148" t="s">
        <v>37</v>
      </c>
    </row>
    <row r="4885" spans="1:6" ht="15.75">
      <c r="A4885" t="str">
        <f t="shared" si="76"/>
        <v>Villars-EpeneyPACECS</v>
      </c>
      <c r="C4885" s="148" t="s">
        <v>588</v>
      </c>
      <c r="D4885" s="148" t="s">
        <v>69</v>
      </c>
      <c r="E4885" s="148">
        <v>4716.9230769200003</v>
      </c>
      <c r="F4885" s="148" t="s">
        <v>37</v>
      </c>
    </row>
    <row r="4886" spans="1:6" ht="15.75">
      <c r="A4886" t="str">
        <f t="shared" si="76"/>
        <v>Villars-EpeneySolaireECS</v>
      </c>
      <c r="C4886" s="148" t="s">
        <v>588</v>
      </c>
      <c r="D4886" s="148" t="s">
        <v>240</v>
      </c>
      <c r="E4886" s="148">
        <v>44245.600000000006</v>
      </c>
      <c r="F4886" s="148" t="s">
        <v>37</v>
      </c>
    </row>
    <row r="4887" spans="1:6" ht="15.75">
      <c r="A4887" t="str">
        <f t="shared" si="76"/>
        <v>Villars-le-ComteBoisECS</v>
      </c>
      <c r="C4887" s="148" t="s">
        <v>608</v>
      </c>
      <c r="D4887" s="148" t="s">
        <v>66</v>
      </c>
      <c r="E4887" s="148">
        <v>35608.53333333</v>
      </c>
      <c r="F4887" s="148" t="s">
        <v>37</v>
      </c>
    </row>
    <row r="4888" spans="1:6" ht="15.75">
      <c r="A4888" t="str">
        <f t="shared" si="76"/>
        <v>Villars-le-ComteElectricitéECS</v>
      </c>
      <c r="C4888" s="148" t="s">
        <v>608</v>
      </c>
      <c r="D4888" s="148" t="s">
        <v>97</v>
      </c>
      <c r="E4888" s="148">
        <v>71665.066666669998</v>
      </c>
      <c r="F4888" s="148" t="s">
        <v>37</v>
      </c>
    </row>
    <row r="4889" spans="1:6" ht="15.75">
      <c r="A4889" t="str">
        <f t="shared" si="76"/>
        <v>Villars-le-ComteGazECS</v>
      </c>
      <c r="C4889" s="148" t="s">
        <v>608</v>
      </c>
      <c r="D4889" s="148" t="s">
        <v>239</v>
      </c>
      <c r="E4889" s="148">
        <v>10356.705882349999</v>
      </c>
      <c r="F4889" s="148" t="s">
        <v>37</v>
      </c>
    </row>
    <row r="4890" spans="1:6" ht="15.75">
      <c r="A4890" t="str">
        <f t="shared" si="76"/>
        <v>Villars-le-ComteMazoutECS</v>
      </c>
      <c r="C4890" s="148" t="s">
        <v>608</v>
      </c>
      <c r="D4890" s="148" t="s">
        <v>70</v>
      </c>
      <c r="E4890" s="148">
        <v>183406.58823529005</v>
      </c>
      <c r="F4890" s="148" t="s">
        <v>37</v>
      </c>
    </row>
    <row r="4891" spans="1:6" ht="15.75">
      <c r="A4891" t="str">
        <f t="shared" si="76"/>
        <v>Villars-le-ComteNon renseignéECS</v>
      </c>
      <c r="C4891" s="148" t="s">
        <v>608</v>
      </c>
      <c r="D4891" s="148" t="s">
        <v>696</v>
      </c>
      <c r="E4891" s="148">
        <v>0</v>
      </c>
      <c r="F4891" s="148" t="s">
        <v>37</v>
      </c>
    </row>
    <row r="4892" spans="1:6" ht="15.75">
      <c r="A4892" t="str">
        <f t="shared" si="76"/>
        <v>Villars-le-ComtePACECS</v>
      </c>
      <c r="C4892" s="148" t="s">
        <v>608</v>
      </c>
      <c r="D4892" s="148" t="s">
        <v>69</v>
      </c>
      <c r="E4892" s="148">
        <v>2360.61538462</v>
      </c>
      <c r="F4892" s="148" t="s">
        <v>37</v>
      </c>
    </row>
    <row r="4893" spans="1:6" ht="15.75">
      <c r="A4893" t="str">
        <f t="shared" si="76"/>
        <v>Villars-le-ComteSolaireECS</v>
      </c>
      <c r="C4893" s="148" t="s">
        <v>608</v>
      </c>
      <c r="D4893" s="148" t="s">
        <v>240</v>
      </c>
      <c r="E4893" s="148">
        <v>14725.200000000003</v>
      </c>
      <c r="F4893" s="148" t="s">
        <v>37</v>
      </c>
    </row>
    <row r="4894" spans="1:6" ht="15.75">
      <c r="A4894" t="str">
        <f t="shared" si="76"/>
        <v>Villars-le-TerroirBoisECS</v>
      </c>
      <c r="C4894" s="148" t="s">
        <v>607</v>
      </c>
      <c r="D4894" s="148" t="s">
        <v>66</v>
      </c>
      <c r="E4894" s="148">
        <v>166467.61870287004</v>
      </c>
      <c r="F4894" s="148" t="s">
        <v>37</v>
      </c>
    </row>
    <row r="4895" spans="1:6" ht="15.75">
      <c r="A4895" t="str">
        <f t="shared" si="76"/>
        <v>Villars-le-TerroirElectricitéECS</v>
      </c>
      <c r="C4895" s="148" t="s">
        <v>607</v>
      </c>
      <c r="D4895" s="148" t="s">
        <v>97</v>
      </c>
      <c r="E4895" s="148">
        <v>344844.5777778101</v>
      </c>
      <c r="F4895" s="148" t="s">
        <v>37</v>
      </c>
    </row>
    <row r="4896" spans="1:6" ht="15.75">
      <c r="A4896" t="str">
        <f t="shared" si="76"/>
        <v>Villars-le-TerroirGazECS</v>
      </c>
      <c r="C4896" s="148" t="s">
        <v>607</v>
      </c>
      <c r="D4896" s="148" t="s">
        <v>239</v>
      </c>
      <c r="E4896" s="148">
        <v>361241.14066495997</v>
      </c>
      <c r="F4896" s="148" t="s">
        <v>37</v>
      </c>
    </row>
    <row r="4897" spans="1:6" ht="15.75">
      <c r="A4897" t="str">
        <f t="shared" si="76"/>
        <v>Villars-le-TerroirMazoutECS</v>
      </c>
      <c r="C4897" s="148" t="s">
        <v>607</v>
      </c>
      <c r="D4897" s="148" t="s">
        <v>70</v>
      </c>
      <c r="E4897" s="148">
        <v>453783.04313729005</v>
      </c>
      <c r="F4897" s="148" t="s">
        <v>37</v>
      </c>
    </row>
    <row r="4898" spans="1:6" ht="15.75">
      <c r="A4898" t="str">
        <f t="shared" si="76"/>
        <v>Villars-le-TerroirNon renseignéECS</v>
      </c>
      <c r="C4898" s="148" t="s">
        <v>607</v>
      </c>
      <c r="D4898" s="148" t="s">
        <v>696</v>
      </c>
      <c r="E4898" s="148">
        <v>0</v>
      </c>
      <c r="F4898" s="148" t="s">
        <v>37</v>
      </c>
    </row>
    <row r="4899" spans="1:6" ht="15.75">
      <c r="A4899" t="str">
        <f t="shared" si="76"/>
        <v>Villars-le-TerroirPACECS</v>
      </c>
      <c r="C4899" s="148" t="s">
        <v>607</v>
      </c>
      <c r="D4899" s="148" t="s">
        <v>69</v>
      </c>
      <c r="E4899" s="148">
        <v>20389.975969270003</v>
      </c>
      <c r="F4899" s="148" t="s">
        <v>37</v>
      </c>
    </row>
    <row r="4900" spans="1:6" ht="15.75">
      <c r="A4900" t="str">
        <f t="shared" si="76"/>
        <v>Villars-le-TerroirSolaireECS</v>
      </c>
      <c r="C4900" s="148" t="s">
        <v>607</v>
      </c>
      <c r="D4900" s="148" t="s">
        <v>240</v>
      </c>
      <c r="E4900" s="148">
        <v>342908.02000000008</v>
      </c>
      <c r="F4900" s="148" t="s">
        <v>37</v>
      </c>
    </row>
    <row r="4901" spans="1:6" ht="15.75">
      <c r="A4901" t="str">
        <f t="shared" si="76"/>
        <v>Villars-le-TerroirAutre agent énergétiqueECS</v>
      </c>
      <c r="C4901" s="148" t="s">
        <v>607</v>
      </c>
      <c r="D4901" s="148" t="s">
        <v>245</v>
      </c>
      <c r="E4901" s="148">
        <v>4690.8235294100004</v>
      </c>
      <c r="F4901" s="148" t="s">
        <v>37</v>
      </c>
    </row>
    <row r="4902" spans="1:6" ht="15.75">
      <c r="A4902" t="str">
        <f t="shared" si="76"/>
        <v>Villars-Sainte-CroixAutre agent énergétiqueECS</v>
      </c>
      <c r="C4902" s="148" t="s">
        <v>589</v>
      </c>
      <c r="D4902" s="148" t="s">
        <v>245</v>
      </c>
      <c r="E4902" s="148">
        <v>8828.2352941200006</v>
      </c>
      <c r="F4902" s="148" t="s">
        <v>37</v>
      </c>
    </row>
    <row r="4903" spans="1:6" ht="15.75">
      <c r="A4903" t="str">
        <f t="shared" si="76"/>
        <v>Villars-Sainte-CroixBoisECS</v>
      </c>
      <c r="C4903" s="148" t="s">
        <v>589</v>
      </c>
      <c r="D4903" s="148" t="s">
        <v>66</v>
      </c>
      <c r="E4903" s="148">
        <v>8397.5843137299998</v>
      </c>
      <c r="F4903" s="148" t="s">
        <v>37</v>
      </c>
    </row>
    <row r="4904" spans="1:6" ht="15.75">
      <c r="A4904" t="str">
        <f t="shared" si="76"/>
        <v>Villars-Sainte-CroixElectricitéECS</v>
      </c>
      <c r="C4904" s="148" t="s">
        <v>589</v>
      </c>
      <c r="D4904" s="148" t="s">
        <v>97</v>
      </c>
      <c r="E4904" s="148">
        <v>216429.11111110001</v>
      </c>
      <c r="F4904" s="148" t="s">
        <v>37</v>
      </c>
    </row>
    <row r="4905" spans="1:6" ht="15.75">
      <c r="A4905" t="str">
        <f t="shared" si="76"/>
        <v>Villars-Sainte-CroixGazECS</v>
      </c>
      <c r="C4905" s="148" t="s">
        <v>589</v>
      </c>
      <c r="D4905" s="148" t="s">
        <v>239</v>
      </c>
      <c r="E4905" s="148">
        <v>518037.66751919989</v>
      </c>
      <c r="F4905" s="148" t="s">
        <v>37</v>
      </c>
    </row>
    <row r="4906" spans="1:6" ht="15.75">
      <c r="A4906" t="str">
        <f t="shared" si="76"/>
        <v>Villars-Sainte-CroixMazoutECS</v>
      </c>
      <c r="C4906" s="148" t="s">
        <v>589</v>
      </c>
      <c r="D4906" s="148" t="s">
        <v>70</v>
      </c>
      <c r="E4906" s="148">
        <v>412482.82352941995</v>
      </c>
      <c r="F4906" s="148" t="s">
        <v>37</v>
      </c>
    </row>
    <row r="4907" spans="1:6" ht="15.75">
      <c r="A4907" t="str">
        <f t="shared" si="76"/>
        <v>Villars-Sainte-CroixNon renseignéECS</v>
      </c>
      <c r="C4907" s="148" t="s">
        <v>589</v>
      </c>
      <c r="D4907" s="148" t="s">
        <v>696</v>
      </c>
      <c r="E4907" s="148">
        <v>0</v>
      </c>
      <c r="F4907" s="148" t="s">
        <v>37</v>
      </c>
    </row>
    <row r="4908" spans="1:6" ht="15.75">
      <c r="A4908" t="str">
        <f t="shared" si="76"/>
        <v>Villars-Sainte-CroixPACECS</v>
      </c>
      <c r="C4908" s="148" t="s">
        <v>589</v>
      </c>
      <c r="D4908" s="148" t="s">
        <v>69</v>
      </c>
      <c r="E4908" s="148">
        <v>106499.60237830998</v>
      </c>
      <c r="F4908" s="148" t="s">
        <v>37</v>
      </c>
    </row>
    <row r="4909" spans="1:6" ht="15.75">
      <c r="A4909" t="str">
        <f t="shared" si="76"/>
        <v>Villars-Sainte-CroixSolaireECS</v>
      </c>
      <c r="C4909" s="148" t="s">
        <v>589</v>
      </c>
      <c r="D4909" s="148" t="s">
        <v>240</v>
      </c>
      <c r="E4909" s="148">
        <v>134744.40000000002</v>
      </c>
      <c r="F4909" s="148" t="s">
        <v>37</v>
      </c>
    </row>
    <row r="4910" spans="1:6" ht="15.75">
      <c r="A4910" t="str">
        <f t="shared" si="76"/>
        <v>Villars-sous-YensAutre agent énergétiqueECS</v>
      </c>
      <c r="C4910" s="148" t="s">
        <v>606</v>
      </c>
      <c r="D4910" s="148" t="s">
        <v>245</v>
      </c>
      <c r="E4910" s="148">
        <v>79754.156862749995</v>
      </c>
      <c r="F4910" s="148" t="s">
        <v>37</v>
      </c>
    </row>
    <row r="4911" spans="1:6" ht="15.75">
      <c r="A4911" t="str">
        <f t="shared" si="76"/>
        <v>Villars-sous-YensBoisECS</v>
      </c>
      <c r="C4911" s="148" t="s">
        <v>606</v>
      </c>
      <c r="D4911" s="148" t="s">
        <v>66</v>
      </c>
      <c r="E4911" s="148">
        <v>89071.359999999986</v>
      </c>
      <c r="F4911" s="148" t="s">
        <v>37</v>
      </c>
    </row>
    <row r="4912" spans="1:6" ht="15.75">
      <c r="A4912" t="str">
        <f t="shared" si="76"/>
        <v>Villars-sous-YensElectricitéECS</v>
      </c>
      <c r="C4912" s="148" t="s">
        <v>606</v>
      </c>
      <c r="D4912" s="148" t="s">
        <v>97</v>
      </c>
      <c r="E4912" s="148">
        <v>70326.666666670004</v>
      </c>
      <c r="F4912" s="148" t="s">
        <v>37</v>
      </c>
    </row>
    <row r="4913" spans="1:6" ht="15.75">
      <c r="A4913" t="str">
        <f t="shared" si="76"/>
        <v>Villars-sous-YensGazECS</v>
      </c>
      <c r="C4913" s="148" t="s">
        <v>606</v>
      </c>
      <c r="D4913" s="148" t="s">
        <v>239</v>
      </c>
      <c r="E4913" s="148">
        <v>224151.63682862002</v>
      </c>
      <c r="F4913" s="148" t="s">
        <v>37</v>
      </c>
    </row>
    <row r="4914" spans="1:6" ht="15.75">
      <c r="A4914" t="str">
        <f t="shared" si="76"/>
        <v>Villars-sous-YensMazoutECS</v>
      </c>
      <c r="C4914" s="148" t="s">
        <v>606</v>
      </c>
      <c r="D4914" s="148" t="s">
        <v>70</v>
      </c>
      <c r="E4914" s="148">
        <v>373882.02352939005</v>
      </c>
      <c r="F4914" s="148" t="s">
        <v>37</v>
      </c>
    </row>
    <row r="4915" spans="1:6" ht="15.75">
      <c r="A4915" t="str">
        <f t="shared" si="76"/>
        <v>Villars-sous-YensNon renseignéECS</v>
      </c>
      <c r="C4915" s="148" t="s">
        <v>606</v>
      </c>
      <c r="D4915" s="148" t="s">
        <v>696</v>
      </c>
      <c r="E4915" s="148">
        <v>0</v>
      </c>
      <c r="F4915" s="148" t="s">
        <v>37</v>
      </c>
    </row>
    <row r="4916" spans="1:6" ht="15.75">
      <c r="A4916" t="str">
        <f t="shared" si="76"/>
        <v>Villars-sous-YensPACECS</v>
      </c>
      <c r="C4916" s="148" t="s">
        <v>606</v>
      </c>
      <c r="D4916" s="148" t="s">
        <v>69</v>
      </c>
      <c r="E4916" s="148">
        <v>1313.8461538500001</v>
      </c>
      <c r="F4916" s="148" t="s">
        <v>37</v>
      </c>
    </row>
    <row r="4917" spans="1:6" ht="15.75">
      <c r="A4917" t="str">
        <f t="shared" si="76"/>
        <v>Villars-sous-YensSolaireECS</v>
      </c>
      <c r="C4917" s="148" t="s">
        <v>606</v>
      </c>
      <c r="D4917" s="148" t="s">
        <v>240</v>
      </c>
      <c r="E4917" s="148">
        <v>28940.799999999999</v>
      </c>
      <c r="F4917" s="148" t="s">
        <v>37</v>
      </c>
    </row>
    <row r="4918" spans="1:6" ht="15.75">
      <c r="A4918" t="str">
        <f t="shared" si="76"/>
        <v>VillarzelAutre agent énergétiqueECS</v>
      </c>
      <c r="C4918" s="148" t="s">
        <v>590</v>
      </c>
      <c r="D4918" s="148" t="s">
        <v>245</v>
      </c>
      <c r="E4918" s="148">
        <v>20298.352941179997</v>
      </c>
      <c r="F4918" s="148" t="s">
        <v>37</v>
      </c>
    </row>
    <row r="4919" spans="1:6" ht="15.75">
      <c r="A4919" t="str">
        <f t="shared" si="76"/>
        <v>VillarzelBoisECS</v>
      </c>
      <c r="C4919" s="148" t="s">
        <v>590</v>
      </c>
      <c r="D4919" s="148" t="s">
        <v>66</v>
      </c>
      <c r="E4919" s="148">
        <v>94157.960784309995</v>
      </c>
      <c r="F4919" s="148" t="s">
        <v>37</v>
      </c>
    </row>
    <row r="4920" spans="1:6" ht="15.75">
      <c r="A4920" t="str">
        <f t="shared" si="76"/>
        <v>VillarzelElectricitéECS</v>
      </c>
      <c r="C4920" s="148" t="s">
        <v>590</v>
      </c>
      <c r="D4920" s="148" t="s">
        <v>97</v>
      </c>
      <c r="E4920" s="148">
        <v>235557.46666665</v>
      </c>
      <c r="F4920" s="148" t="s">
        <v>37</v>
      </c>
    </row>
    <row r="4921" spans="1:6" ht="15.75">
      <c r="A4921" t="str">
        <f t="shared" si="76"/>
        <v>VillarzelGazECS</v>
      </c>
      <c r="C4921" s="148" t="s">
        <v>590</v>
      </c>
      <c r="D4921" s="148" t="s">
        <v>239</v>
      </c>
      <c r="E4921" s="148">
        <v>104410.42455243999</v>
      </c>
      <c r="F4921" s="148" t="s">
        <v>37</v>
      </c>
    </row>
    <row r="4922" spans="1:6" ht="15.75">
      <c r="A4922" t="str">
        <f t="shared" si="76"/>
        <v>VillarzelMazoutECS</v>
      </c>
      <c r="C4922" s="148" t="s">
        <v>590</v>
      </c>
      <c r="D4922" s="148" t="s">
        <v>70</v>
      </c>
      <c r="E4922" s="148">
        <v>564860.47058821993</v>
      </c>
      <c r="F4922" s="148" t="s">
        <v>37</v>
      </c>
    </row>
    <row r="4923" spans="1:6" ht="15.75">
      <c r="A4923" t="str">
        <f t="shared" si="76"/>
        <v>VillarzelNon renseignéECS</v>
      </c>
      <c r="C4923" s="148" t="s">
        <v>590</v>
      </c>
      <c r="D4923" s="148" t="s">
        <v>696</v>
      </c>
      <c r="E4923" s="148">
        <v>0</v>
      </c>
      <c r="F4923" s="148" t="s">
        <v>37</v>
      </c>
    </row>
    <row r="4924" spans="1:6" ht="15.75">
      <c r="A4924" t="str">
        <f t="shared" si="76"/>
        <v>VillarzelPACECS</v>
      </c>
      <c r="C4924" s="148" t="s">
        <v>590</v>
      </c>
      <c r="D4924" s="148" t="s">
        <v>69</v>
      </c>
      <c r="E4924" s="148">
        <v>3837.68561873</v>
      </c>
      <c r="F4924" s="148" t="s">
        <v>37</v>
      </c>
    </row>
    <row r="4925" spans="1:6" ht="15.75">
      <c r="A4925" t="str">
        <f t="shared" si="76"/>
        <v>VillarzelSolaireECS</v>
      </c>
      <c r="C4925" s="148" t="s">
        <v>590</v>
      </c>
      <c r="D4925" s="148" t="s">
        <v>240</v>
      </c>
      <c r="E4925" s="148">
        <v>72571.8</v>
      </c>
      <c r="F4925" s="148" t="s">
        <v>37</v>
      </c>
    </row>
    <row r="4926" spans="1:6" ht="15.75">
      <c r="A4926" t="str">
        <f t="shared" si="76"/>
        <v>Villeneuve (VD)Autre agent énergétiqueECS</v>
      </c>
      <c r="C4926" s="148" t="s">
        <v>605</v>
      </c>
      <c r="D4926" s="148" t="s">
        <v>245</v>
      </c>
      <c r="E4926" s="148">
        <v>51763.764705879999</v>
      </c>
      <c r="F4926" s="148" t="s">
        <v>37</v>
      </c>
    </row>
    <row r="4927" spans="1:6" ht="15.75">
      <c r="A4927" t="str">
        <f t="shared" si="76"/>
        <v>Villeneuve (VD)BoisECS</v>
      </c>
      <c r="C4927" s="148" t="s">
        <v>605</v>
      </c>
      <c r="D4927" s="148" t="s">
        <v>66</v>
      </c>
      <c r="E4927" s="148">
        <v>129230.84862741</v>
      </c>
      <c r="F4927" s="148" t="s">
        <v>37</v>
      </c>
    </row>
    <row r="4928" spans="1:6" ht="15.75">
      <c r="A4928" t="str">
        <f t="shared" si="76"/>
        <v>Villeneuve (VD)CADECS</v>
      </c>
      <c r="C4928" s="148" t="s">
        <v>605</v>
      </c>
      <c r="D4928" s="148" t="s">
        <v>242</v>
      </c>
      <c r="E4928" s="148">
        <v>510941.5</v>
      </c>
      <c r="F4928" s="148" t="s">
        <v>37</v>
      </c>
    </row>
    <row r="4929" spans="1:6" ht="15.75">
      <c r="A4929" t="str">
        <f t="shared" si="76"/>
        <v>Villeneuve (VD)ElectricitéECS</v>
      </c>
      <c r="C4929" s="148" t="s">
        <v>605</v>
      </c>
      <c r="D4929" s="148" t="s">
        <v>97</v>
      </c>
      <c r="E4929" s="148">
        <v>1151535.6222222201</v>
      </c>
      <c r="F4929" s="148" t="s">
        <v>37</v>
      </c>
    </row>
    <row r="4930" spans="1:6" ht="15.75">
      <c r="A4930" t="str">
        <f t="shared" si="76"/>
        <v>Villeneuve (VD)GazECS</v>
      </c>
      <c r="C4930" s="148" t="s">
        <v>605</v>
      </c>
      <c r="D4930" s="148" t="s">
        <v>239</v>
      </c>
      <c r="E4930" s="148">
        <v>3454760.2782609048</v>
      </c>
      <c r="F4930" s="148" t="s">
        <v>37</v>
      </c>
    </row>
    <row r="4931" spans="1:6" ht="15.75">
      <c r="A4931" t="str">
        <f t="shared" si="76"/>
        <v>Villeneuve (VD)MazoutECS</v>
      </c>
      <c r="C4931" s="148" t="s">
        <v>605</v>
      </c>
      <c r="D4931" s="148" t="s">
        <v>70</v>
      </c>
      <c r="E4931" s="148">
        <v>1891272.5176469984</v>
      </c>
      <c r="F4931" s="148" t="s">
        <v>37</v>
      </c>
    </row>
    <row r="4932" spans="1:6" ht="15.75">
      <c r="A4932" t="str">
        <f t="shared" si="76"/>
        <v>Villeneuve (VD)Non renseignéECS</v>
      </c>
      <c r="C4932" s="148" t="s">
        <v>605</v>
      </c>
      <c r="D4932" s="148" t="s">
        <v>696</v>
      </c>
      <c r="E4932" s="148">
        <v>0</v>
      </c>
      <c r="F4932" s="148" t="s">
        <v>37</v>
      </c>
    </row>
    <row r="4933" spans="1:6" ht="15.75">
      <c r="A4933" t="str">
        <f t="shared" si="76"/>
        <v>Villeneuve (VD)PACECS</v>
      </c>
      <c r="C4933" s="148" t="s">
        <v>605</v>
      </c>
      <c r="D4933" s="148" t="s">
        <v>69</v>
      </c>
      <c r="E4933" s="148">
        <v>34903.802675610001</v>
      </c>
      <c r="F4933" s="148" t="s">
        <v>37</v>
      </c>
    </row>
    <row r="4934" spans="1:6" ht="15.75">
      <c r="A4934" t="str">
        <f t="shared" si="76"/>
        <v>Villeneuve (VD)SolaireECS</v>
      </c>
      <c r="C4934" s="148" t="s">
        <v>605</v>
      </c>
      <c r="D4934" s="148" t="s">
        <v>240</v>
      </c>
      <c r="E4934" s="148">
        <v>301386.12</v>
      </c>
      <c r="F4934" s="148" t="s">
        <v>37</v>
      </c>
    </row>
    <row r="4935" spans="1:6" ht="15.75">
      <c r="A4935" t="str">
        <f t="shared" si="76"/>
        <v>VinzelCADECS</v>
      </c>
      <c r="C4935" s="148" t="s">
        <v>591</v>
      </c>
      <c r="D4935" s="148" t="s">
        <v>242</v>
      </c>
      <c r="E4935" s="148" t="e">
        <v>#N/A</v>
      </c>
      <c r="F4935" s="148" t="s">
        <v>37</v>
      </c>
    </row>
    <row r="4936" spans="1:6" ht="15.75">
      <c r="A4936" t="str">
        <f t="shared" si="76"/>
        <v>VinzelElectricitéECS</v>
      </c>
      <c r="C4936" s="148" t="s">
        <v>591</v>
      </c>
      <c r="D4936" s="148" t="s">
        <v>97</v>
      </c>
      <c r="E4936" s="148">
        <v>64891.555555569983</v>
      </c>
      <c r="F4936" s="148" t="s">
        <v>37</v>
      </c>
    </row>
    <row r="4937" spans="1:6" ht="15.75">
      <c r="A4937" t="str">
        <f t="shared" si="76"/>
        <v>VinzelGazECS</v>
      </c>
      <c r="C4937" s="148" t="s">
        <v>591</v>
      </c>
      <c r="D4937" s="148" t="s">
        <v>239</v>
      </c>
      <c r="E4937" s="148">
        <v>169651.01176469008</v>
      </c>
      <c r="F4937" s="148" t="s">
        <v>37</v>
      </c>
    </row>
    <row r="4938" spans="1:6" ht="15.75">
      <c r="A4938" t="str">
        <f t="shared" si="76"/>
        <v>VinzelMazoutECS</v>
      </c>
      <c r="C4938" s="148" t="s">
        <v>591</v>
      </c>
      <c r="D4938" s="148" t="s">
        <v>70</v>
      </c>
      <c r="E4938" s="148">
        <v>372240.23529411008</v>
      </c>
      <c r="F4938" s="148" t="s">
        <v>37</v>
      </c>
    </row>
    <row r="4939" spans="1:6" ht="15.75">
      <c r="A4939" t="str">
        <f t="shared" si="76"/>
        <v>VinzelNon renseignéECS</v>
      </c>
      <c r="C4939" s="148" t="s">
        <v>591</v>
      </c>
      <c r="D4939" s="148" t="s">
        <v>696</v>
      </c>
      <c r="E4939" s="148">
        <v>0</v>
      </c>
      <c r="F4939" s="148" t="s">
        <v>37</v>
      </c>
    </row>
    <row r="4940" spans="1:6" ht="15.75">
      <c r="A4940" t="str">
        <f t="shared" si="76"/>
        <v>VinzelPACECS</v>
      </c>
      <c r="C4940" s="148" t="s">
        <v>591</v>
      </c>
      <c r="D4940" s="148" t="s">
        <v>69</v>
      </c>
      <c r="E4940" s="148">
        <v>1820</v>
      </c>
      <c r="F4940" s="148" t="s">
        <v>37</v>
      </c>
    </row>
    <row r="4941" spans="1:6" ht="15.75">
      <c r="A4941" t="str">
        <f t="shared" si="76"/>
        <v>VinzelSolaireECS</v>
      </c>
      <c r="C4941" s="148" t="s">
        <v>591</v>
      </c>
      <c r="D4941" s="148" t="s">
        <v>240</v>
      </c>
      <c r="E4941" s="148">
        <v>39325.300000000003</v>
      </c>
      <c r="F4941" s="148" t="s">
        <v>37</v>
      </c>
    </row>
    <row r="4942" spans="1:6" ht="15.75">
      <c r="A4942" t="str">
        <f t="shared" si="76"/>
        <v>VuarrensBoisECS</v>
      </c>
      <c r="C4942" s="148" t="s">
        <v>592</v>
      </c>
      <c r="D4942" s="148" t="s">
        <v>66</v>
      </c>
      <c r="E4942" s="148">
        <v>214701.25490196</v>
      </c>
      <c r="F4942" s="148" t="s">
        <v>37</v>
      </c>
    </row>
    <row r="4943" spans="1:6" ht="15.75">
      <c r="A4943" t="str">
        <f t="shared" si="76"/>
        <v>VuarrensElectricitéECS</v>
      </c>
      <c r="C4943" s="148" t="s">
        <v>592</v>
      </c>
      <c r="D4943" s="148" t="s">
        <v>97</v>
      </c>
      <c r="E4943" s="148">
        <v>255493.77777775997</v>
      </c>
      <c r="F4943" s="148" t="s">
        <v>37</v>
      </c>
    </row>
    <row r="4944" spans="1:6" ht="15.75">
      <c r="A4944" t="str">
        <f t="shared" si="76"/>
        <v>VuarrensGazECS</v>
      </c>
      <c r="C4944" s="148" t="s">
        <v>592</v>
      </c>
      <c r="D4944" s="148" t="s">
        <v>239</v>
      </c>
      <c r="E4944" s="148">
        <v>248784.08184142</v>
      </c>
      <c r="F4944" s="148" t="s">
        <v>37</v>
      </c>
    </row>
    <row r="4945" spans="1:6" ht="15.75">
      <c r="A4945" t="str">
        <f t="shared" si="76"/>
        <v>VuarrensMazoutECS</v>
      </c>
      <c r="C4945" s="148" t="s">
        <v>592</v>
      </c>
      <c r="D4945" s="148" t="s">
        <v>70</v>
      </c>
      <c r="E4945" s="148">
        <v>634941.17647057003</v>
      </c>
      <c r="F4945" s="148" t="s">
        <v>37</v>
      </c>
    </row>
    <row r="4946" spans="1:6" ht="15.75">
      <c r="A4946" t="str">
        <f t="shared" si="76"/>
        <v>VuarrensNon renseignéECS</v>
      </c>
      <c r="C4946" s="148" t="s">
        <v>592</v>
      </c>
      <c r="D4946" s="148" t="s">
        <v>696</v>
      </c>
      <c r="E4946" s="148">
        <v>0</v>
      </c>
      <c r="F4946" s="148" t="s">
        <v>37</v>
      </c>
    </row>
    <row r="4947" spans="1:6" ht="15.75">
      <c r="A4947" t="str">
        <f t="shared" ref="A4947:A5010" si="77">_xlfn.CONCAT(C4947,D4947,F4947)</f>
        <v>VuarrensPACECS</v>
      </c>
      <c r="C4947" s="148" t="s">
        <v>592</v>
      </c>
      <c r="D4947" s="148" t="s">
        <v>69</v>
      </c>
      <c r="E4947" s="148">
        <v>20809.923076939998</v>
      </c>
      <c r="F4947" s="148" t="s">
        <v>37</v>
      </c>
    </row>
    <row r="4948" spans="1:6" ht="15.75">
      <c r="A4948" t="str">
        <f t="shared" si="77"/>
        <v>VuarrensSolaireECS</v>
      </c>
      <c r="C4948" s="148" t="s">
        <v>592</v>
      </c>
      <c r="D4948" s="148" t="s">
        <v>240</v>
      </c>
      <c r="E4948" s="148">
        <v>248206.69999999995</v>
      </c>
      <c r="F4948" s="148" t="s">
        <v>37</v>
      </c>
    </row>
    <row r="4949" spans="1:6" ht="15.75">
      <c r="A4949" t="str">
        <f t="shared" si="77"/>
        <v>VucherensAutre agent énergétiqueECS</v>
      </c>
      <c r="C4949" s="148" t="s">
        <v>593</v>
      </c>
      <c r="D4949" s="148" t="s">
        <v>245</v>
      </c>
      <c r="E4949" s="148">
        <v>8551.5294117599988</v>
      </c>
      <c r="F4949" s="148" t="s">
        <v>37</v>
      </c>
    </row>
    <row r="4950" spans="1:6" ht="15.75">
      <c r="A4950" t="str">
        <f t="shared" si="77"/>
        <v>VucherensBoisECS</v>
      </c>
      <c r="C4950" s="148" t="s">
        <v>593</v>
      </c>
      <c r="D4950" s="148" t="s">
        <v>66</v>
      </c>
      <c r="E4950" s="148">
        <v>46649.317647049997</v>
      </c>
      <c r="F4950" s="148" t="s">
        <v>37</v>
      </c>
    </row>
    <row r="4951" spans="1:6" ht="15.75">
      <c r="A4951" t="str">
        <f t="shared" si="77"/>
        <v>VucherensCADECS</v>
      </c>
      <c r="C4951" s="148" t="s">
        <v>593</v>
      </c>
      <c r="D4951" s="148" t="s">
        <v>242</v>
      </c>
      <c r="E4951" s="148">
        <v>3248</v>
      </c>
      <c r="F4951" s="148" t="s">
        <v>37</v>
      </c>
    </row>
    <row r="4952" spans="1:6" ht="15.75">
      <c r="A4952" t="str">
        <f t="shared" si="77"/>
        <v>VucherensCharbonECS</v>
      </c>
      <c r="C4952" s="148" t="s">
        <v>593</v>
      </c>
      <c r="D4952" s="148" t="s">
        <v>695</v>
      </c>
      <c r="E4952" s="148" t="e">
        <v>#N/A</v>
      </c>
      <c r="F4952" s="148" t="s">
        <v>37</v>
      </c>
    </row>
    <row r="4953" spans="1:6" ht="15.75">
      <c r="A4953" t="str">
        <f t="shared" si="77"/>
        <v>VucherensElectricitéECS</v>
      </c>
      <c r="C4953" s="148" t="s">
        <v>593</v>
      </c>
      <c r="D4953" s="148" t="s">
        <v>97</v>
      </c>
      <c r="E4953" s="148">
        <v>160623.55555556001</v>
      </c>
      <c r="F4953" s="148" t="s">
        <v>37</v>
      </c>
    </row>
    <row r="4954" spans="1:6" ht="15.75">
      <c r="A4954" t="str">
        <f t="shared" si="77"/>
        <v>VucherensGazECS</v>
      </c>
      <c r="C4954" s="148" t="s">
        <v>593</v>
      </c>
      <c r="D4954" s="148" t="s">
        <v>239</v>
      </c>
      <c r="E4954" s="148">
        <v>73300.687979530005</v>
      </c>
      <c r="F4954" s="148" t="s">
        <v>37</v>
      </c>
    </row>
    <row r="4955" spans="1:6" ht="15.75">
      <c r="A4955" t="str">
        <f t="shared" si="77"/>
        <v>VucherensMazoutECS</v>
      </c>
      <c r="C4955" s="148" t="s">
        <v>593</v>
      </c>
      <c r="D4955" s="148" t="s">
        <v>70</v>
      </c>
      <c r="E4955" s="148">
        <v>524356.00000001991</v>
      </c>
      <c r="F4955" s="148" t="s">
        <v>37</v>
      </c>
    </row>
    <row r="4956" spans="1:6" ht="15.75">
      <c r="A4956" t="str">
        <f t="shared" si="77"/>
        <v>VucherensNon renseignéECS</v>
      </c>
      <c r="C4956" s="148" t="s">
        <v>593</v>
      </c>
      <c r="D4956" s="148" t="s">
        <v>696</v>
      </c>
      <c r="E4956" s="148">
        <v>0</v>
      </c>
      <c r="F4956" s="148" t="s">
        <v>37</v>
      </c>
    </row>
    <row r="4957" spans="1:6" ht="15.75">
      <c r="A4957" t="str">
        <f t="shared" si="77"/>
        <v>VucherensPACECS</v>
      </c>
      <c r="C4957" s="148" t="s">
        <v>593</v>
      </c>
      <c r="D4957" s="148" t="s">
        <v>69</v>
      </c>
      <c r="E4957" s="148">
        <v>19754.970097859998</v>
      </c>
      <c r="F4957" s="148" t="s">
        <v>37</v>
      </c>
    </row>
    <row r="4958" spans="1:6" ht="15.75">
      <c r="A4958" t="str">
        <f t="shared" si="77"/>
        <v>VucherensSolaireECS</v>
      </c>
      <c r="C4958" s="148" t="s">
        <v>593</v>
      </c>
      <c r="D4958" s="148" t="s">
        <v>240</v>
      </c>
      <c r="E4958" s="148">
        <v>101529.40000000001</v>
      </c>
      <c r="F4958" s="148" t="s">
        <v>37</v>
      </c>
    </row>
    <row r="4959" spans="1:6" ht="15.75">
      <c r="A4959" t="str">
        <f t="shared" si="77"/>
        <v>Vufflens-la-VilleAutre agent énergétiqueECS</v>
      </c>
      <c r="C4959" s="148" t="s">
        <v>604</v>
      </c>
      <c r="D4959" s="148" t="s">
        <v>245</v>
      </c>
      <c r="E4959" s="148" t="e">
        <v>#N/A</v>
      </c>
      <c r="F4959" s="148" t="s">
        <v>37</v>
      </c>
    </row>
    <row r="4960" spans="1:6" ht="15.75">
      <c r="A4960" t="str">
        <f t="shared" si="77"/>
        <v>Vufflens-la-VilleBoisECS</v>
      </c>
      <c r="C4960" s="148" t="s">
        <v>604</v>
      </c>
      <c r="D4960" s="148" t="s">
        <v>66</v>
      </c>
      <c r="E4960" s="148">
        <v>69478.892549020005</v>
      </c>
      <c r="F4960" s="148" t="s">
        <v>37</v>
      </c>
    </row>
    <row r="4961" spans="1:6" ht="15.75">
      <c r="A4961" t="str">
        <f t="shared" si="77"/>
        <v>Vufflens-la-VilleCADECS</v>
      </c>
      <c r="C4961" s="148" t="s">
        <v>604</v>
      </c>
      <c r="D4961" s="148" t="s">
        <v>242</v>
      </c>
      <c r="E4961" s="148" t="e">
        <v>#N/A</v>
      </c>
      <c r="F4961" s="148" t="s">
        <v>37</v>
      </c>
    </row>
    <row r="4962" spans="1:6" ht="15.75">
      <c r="A4962" t="str">
        <f t="shared" si="77"/>
        <v>Vufflens-la-VilleElectricitéECS</v>
      </c>
      <c r="C4962" s="148" t="s">
        <v>604</v>
      </c>
      <c r="D4962" s="148" t="s">
        <v>97</v>
      </c>
      <c r="E4962" s="148">
        <v>350355.91111107008</v>
      </c>
      <c r="F4962" s="148" t="s">
        <v>37</v>
      </c>
    </row>
    <row r="4963" spans="1:6" ht="15.75">
      <c r="A4963" t="str">
        <f t="shared" si="77"/>
        <v>Vufflens-la-VilleGazECS</v>
      </c>
      <c r="C4963" s="148" t="s">
        <v>604</v>
      </c>
      <c r="D4963" s="148" t="s">
        <v>239</v>
      </c>
      <c r="E4963" s="148">
        <v>721069.76470589987</v>
      </c>
      <c r="F4963" s="148" t="s">
        <v>37</v>
      </c>
    </row>
    <row r="4964" spans="1:6" ht="15.75">
      <c r="A4964" t="str">
        <f t="shared" si="77"/>
        <v>Vufflens-la-VilleMazoutECS</v>
      </c>
      <c r="C4964" s="148" t="s">
        <v>604</v>
      </c>
      <c r="D4964" s="148" t="s">
        <v>70</v>
      </c>
      <c r="E4964" s="148">
        <v>637859.43529418984</v>
      </c>
      <c r="F4964" s="148" t="s">
        <v>37</v>
      </c>
    </row>
    <row r="4965" spans="1:6" ht="15.75">
      <c r="A4965" t="str">
        <f t="shared" si="77"/>
        <v>Vufflens-la-VilleNon renseignéECS</v>
      </c>
      <c r="C4965" s="148" t="s">
        <v>604</v>
      </c>
      <c r="D4965" s="148" t="s">
        <v>696</v>
      </c>
      <c r="E4965" s="148">
        <v>0</v>
      </c>
      <c r="F4965" s="148" t="s">
        <v>37</v>
      </c>
    </row>
    <row r="4966" spans="1:6" ht="15.75">
      <c r="A4966" t="str">
        <f t="shared" si="77"/>
        <v>Vufflens-la-VillePACECS</v>
      </c>
      <c r="C4966" s="148" t="s">
        <v>604</v>
      </c>
      <c r="D4966" s="148" t="s">
        <v>69</v>
      </c>
      <c r="E4966" s="148">
        <v>106698.79152732002</v>
      </c>
      <c r="F4966" s="148" t="s">
        <v>37</v>
      </c>
    </row>
    <row r="4967" spans="1:6" ht="15.75">
      <c r="A4967" t="str">
        <f t="shared" si="77"/>
        <v>Vufflens-la-VilleSolaireECS</v>
      </c>
      <c r="C4967" s="148" t="s">
        <v>604</v>
      </c>
      <c r="D4967" s="148" t="s">
        <v>240</v>
      </c>
      <c r="E4967" s="148">
        <v>89335.4</v>
      </c>
      <c r="F4967" s="148" t="s">
        <v>37</v>
      </c>
    </row>
    <row r="4968" spans="1:6" ht="15.75">
      <c r="A4968" t="str">
        <f t="shared" si="77"/>
        <v>Vufflens-le-ChâteauAutre agent énergétiqueECS</v>
      </c>
      <c r="C4968" s="148" t="s">
        <v>603</v>
      </c>
      <c r="D4968" s="148" t="s">
        <v>245</v>
      </c>
      <c r="E4968" s="148" t="e">
        <v>#N/A</v>
      </c>
      <c r="F4968" s="148" t="s">
        <v>37</v>
      </c>
    </row>
    <row r="4969" spans="1:6" ht="15.75">
      <c r="A4969" t="str">
        <f t="shared" si="77"/>
        <v>Vufflens-le-ChâteauBoisECS</v>
      </c>
      <c r="C4969" s="148" t="s">
        <v>603</v>
      </c>
      <c r="D4969" s="148" t="s">
        <v>66</v>
      </c>
      <c r="E4969" s="148" t="e">
        <v>#N/A</v>
      </c>
      <c r="F4969" s="148" t="s">
        <v>37</v>
      </c>
    </row>
    <row r="4970" spans="1:6" ht="15.75">
      <c r="A4970" t="str">
        <f t="shared" si="77"/>
        <v>Vufflens-le-ChâteauElectricitéECS</v>
      </c>
      <c r="C4970" s="148" t="s">
        <v>603</v>
      </c>
      <c r="D4970" s="148" t="s">
        <v>97</v>
      </c>
      <c r="E4970" s="148">
        <v>200932.66666669003</v>
      </c>
      <c r="F4970" s="148" t="s">
        <v>37</v>
      </c>
    </row>
    <row r="4971" spans="1:6" ht="15.75">
      <c r="A4971" t="str">
        <f t="shared" si="77"/>
        <v>Vufflens-le-ChâteauGazECS</v>
      </c>
      <c r="C4971" s="148" t="s">
        <v>603</v>
      </c>
      <c r="D4971" s="148" t="s">
        <v>239</v>
      </c>
      <c r="E4971" s="148">
        <v>353271.02301785001</v>
      </c>
      <c r="F4971" s="148" t="s">
        <v>37</v>
      </c>
    </row>
    <row r="4972" spans="1:6" ht="15.75">
      <c r="A4972" t="str">
        <f t="shared" si="77"/>
        <v>Vufflens-le-ChâteauMazoutECS</v>
      </c>
      <c r="C4972" s="148" t="s">
        <v>603</v>
      </c>
      <c r="D4972" s="148" t="s">
        <v>70</v>
      </c>
      <c r="E4972" s="148">
        <v>487153.88235295983</v>
      </c>
      <c r="F4972" s="148" t="s">
        <v>37</v>
      </c>
    </row>
    <row r="4973" spans="1:6" ht="15.75">
      <c r="A4973" t="str">
        <f t="shared" si="77"/>
        <v>Vufflens-le-ChâteauNon renseignéECS</v>
      </c>
      <c r="C4973" s="148" t="s">
        <v>603</v>
      </c>
      <c r="D4973" s="148" t="s">
        <v>696</v>
      </c>
      <c r="E4973" s="148">
        <v>0</v>
      </c>
      <c r="F4973" s="148" t="s">
        <v>37</v>
      </c>
    </row>
    <row r="4974" spans="1:6" ht="15.75">
      <c r="A4974" t="str">
        <f t="shared" si="77"/>
        <v>Vufflens-le-ChâteauPACECS</v>
      </c>
      <c r="C4974" s="148" t="s">
        <v>603</v>
      </c>
      <c r="D4974" s="148" t="s">
        <v>69</v>
      </c>
      <c r="E4974" s="148">
        <v>33789.168215040001</v>
      </c>
      <c r="F4974" s="148" t="s">
        <v>37</v>
      </c>
    </row>
    <row r="4975" spans="1:6" ht="15.75">
      <c r="A4975" t="str">
        <f t="shared" si="77"/>
        <v>Vufflens-le-ChâteauSolaireECS</v>
      </c>
      <c r="C4975" s="148" t="s">
        <v>603</v>
      </c>
      <c r="D4975" s="148" t="s">
        <v>240</v>
      </c>
      <c r="E4975" s="148">
        <v>76691.533333330008</v>
      </c>
      <c r="F4975" s="148" t="s">
        <v>37</v>
      </c>
    </row>
    <row r="4976" spans="1:6" ht="15.75">
      <c r="A4976" t="str">
        <f t="shared" si="77"/>
        <v>Vugelles-La MotheAutre agent énergétiqueECS</v>
      </c>
      <c r="C4976" s="148" t="s">
        <v>594</v>
      </c>
      <c r="D4976" s="148" t="s">
        <v>245</v>
      </c>
      <c r="E4976" s="148">
        <v>2582.5882352899998</v>
      </c>
      <c r="F4976" s="148" t="s">
        <v>37</v>
      </c>
    </row>
    <row r="4977" spans="1:6" ht="15.75">
      <c r="A4977" t="str">
        <f t="shared" si="77"/>
        <v>Vugelles-La MotheBoisECS</v>
      </c>
      <c r="C4977" s="148" t="s">
        <v>594</v>
      </c>
      <c r="D4977" s="148" t="s">
        <v>66</v>
      </c>
      <c r="E4977" s="148">
        <v>57627.733333329998</v>
      </c>
      <c r="F4977" s="148" t="s">
        <v>37</v>
      </c>
    </row>
    <row r="4978" spans="1:6" ht="15.75">
      <c r="A4978" t="str">
        <f t="shared" si="77"/>
        <v>Vugelles-La MotheElectricitéECS</v>
      </c>
      <c r="C4978" s="148" t="s">
        <v>594</v>
      </c>
      <c r="D4978" s="148" t="s">
        <v>97</v>
      </c>
      <c r="E4978" s="148">
        <v>85683.111111100006</v>
      </c>
      <c r="F4978" s="148" t="s">
        <v>37</v>
      </c>
    </row>
    <row r="4979" spans="1:6" ht="15.75">
      <c r="A4979" t="str">
        <f t="shared" si="77"/>
        <v>Vugelles-La MotheGazECS</v>
      </c>
      <c r="C4979" s="148" t="s">
        <v>594</v>
      </c>
      <c r="D4979" s="148" t="s">
        <v>239</v>
      </c>
      <c r="E4979" s="148">
        <v>19092.705882350001</v>
      </c>
      <c r="F4979" s="148" t="s">
        <v>37</v>
      </c>
    </row>
    <row r="4980" spans="1:6" ht="15.75">
      <c r="A4980" t="str">
        <f t="shared" si="77"/>
        <v>Vugelles-La MotheMazoutECS</v>
      </c>
      <c r="C4980" s="148" t="s">
        <v>594</v>
      </c>
      <c r="D4980" s="148" t="s">
        <v>70</v>
      </c>
      <c r="E4980" s="148">
        <v>80340.235294119993</v>
      </c>
      <c r="F4980" s="148" t="s">
        <v>37</v>
      </c>
    </row>
    <row r="4981" spans="1:6" ht="15.75">
      <c r="A4981" t="str">
        <f t="shared" si="77"/>
        <v>Vugelles-La MotheNon renseignéECS</v>
      </c>
      <c r="C4981" s="148" t="s">
        <v>594</v>
      </c>
      <c r="D4981" s="148" t="s">
        <v>696</v>
      </c>
      <c r="E4981" s="148">
        <v>0</v>
      </c>
      <c r="F4981" s="148" t="s">
        <v>37</v>
      </c>
    </row>
    <row r="4982" spans="1:6" ht="15.75">
      <c r="A4982" t="str">
        <f t="shared" si="77"/>
        <v>Vugelles-La MothePACECS</v>
      </c>
      <c r="C4982" s="148" t="s">
        <v>594</v>
      </c>
      <c r="D4982" s="148" t="s">
        <v>69</v>
      </c>
      <c r="E4982" s="148">
        <v>3738.6780626800005</v>
      </c>
      <c r="F4982" s="148" t="s">
        <v>37</v>
      </c>
    </row>
    <row r="4983" spans="1:6" ht="15.75">
      <c r="A4983" t="str">
        <f t="shared" si="77"/>
        <v>Vugelles-La MotheSolaireECS</v>
      </c>
      <c r="C4983" s="148" t="s">
        <v>594</v>
      </c>
      <c r="D4983" s="148" t="s">
        <v>240</v>
      </c>
      <c r="E4983" s="148">
        <v>11012.4</v>
      </c>
      <c r="F4983" s="148" t="s">
        <v>37</v>
      </c>
    </row>
    <row r="4984" spans="1:6" ht="15.75">
      <c r="A4984" t="str">
        <f t="shared" si="77"/>
        <v>VuiteboeufBoisECS</v>
      </c>
      <c r="C4984" s="148" t="s">
        <v>595</v>
      </c>
      <c r="D4984" s="148" t="s">
        <v>66</v>
      </c>
      <c r="E4984" s="148">
        <v>26614.713725480004</v>
      </c>
      <c r="F4984" s="148" t="s">
        <v>37</v>
      </c>
    </row>
    <row r="4985" spans="1:6" ht="15.75">
      <c r="A4985" t="str">
        <f t="shared" si="77"/>
        <v>VuiteboeufCADECS</v>
      </c>
      <c r="C4985" s="148" t="s">
        <v>595</v>
      </c>
      <c r="D4985" s="148" t="s">
        <v>242</v>
      </c>
      <c r="E4985" s="148" t="e">
        <v>#N/A</v>
      </c>
      <c r="F4985" s="148" t="s">
        <v>37</v>
      </c>
    </row>
    <row r="4986" spans="1:6" ht="15.75">
      <c r="A4986" t="str">
        <f t="shared" si="77"/>
        <v>VuiteboeufCharbonECS</v>
      </c>
      <c r="C4986" s="148" t="s">
        <v>595</v>
      </c>
      <c r="D4986" s="148" t="s">
        <v>695</v>
      </c>
      <c r="E4986" s="148" t="e">
        <v>#N/A</v>
      </c>
      <c r="F4986" s="148" t="s">
        <v>37</v>
      </c>
    </row>
    <row r="4987" spans="1:6" ht="15.75">
      <c r="A4987" t="str">
        <f t="shared" si="77"/>
        <v>VuiteboeufElectricitéECS</v>
      </c>
      <c r="C4987" s="148" t="s">
        <v>595</v>
      </c>
      <c r="D4987" s="148" t="s">
        <v>97</v>
      </c>
      <c r="E4987" s="148">
        <v>203023.33333329996</v>
      </c>
      <c r="F4987" s="148" t="s">
        <v>37</v>
      </c>
    </row>
    <row r="4988" spans="1:6" ht="15.75">
      <c r="A4988" t="str">
        <f t="shared" si="77"/>
        <v>VuiteboeufGazECS</v>
      </c>
      <c r="C4988" s="148" t="s">
        <v>595</v>
      </c>
      <c r="D4988" s="148" t="s">
        <v>239</v>
      </c>
      <c r="E4988" s="148">
        <v>288937.94373404997</v>
      </c>
      <c r="F4988" s="148" t="s">
        <v>37</v>
      </c>
    </row>
    <row r="4989" spans="1:6" ht="15.75">
      <c r="A4989" t="str">
        <f t="shared" si="77"/>
        <v>VuiteboeufMazoutECS</v>
      </c>
      <c r="C4989" s="148" t="s">
        <v>595</v>
      </c>
      <c r="D4989" s="148" t="s">
        <v>70</v>
      </c>
      <c r="E4989" s="148">
        <v>347788.00000000006</v>
      </c>
      <c r="F4989" s="148" t="s">
        <v>37</v>
      </c>
    </row>
    <row r="4990" spans="1:6" ht="15.75">
      <c r="A4990" t="str">
        <f t="shared" si="77"/>
        <v>VuiteboeufNon renseignéECS</v>
      </c>
      <c r="C4990" s="148" t="s">
        <v>595</v>
      </c>
      <c r="D4990" s="148" t="s">
        <v>696</v>
      </c>
      <c r="E4990" s="148">
        <v>0</v>
      </c>
      <c r="F4990" s="148" t="s">
        <v>37</v>
      </c>
    </row>
    <row r="4991" spans="1:6" ht="15.75">
      <c r="A4991" t="str">
        <f t="shared" si="77"/>
        <v>VuiteboeufPACECS</v>
      </c>
      <c r="C4991" s="148" t="s">
        <v>595</v>
      </c>
      <c r="D4991" s="148" t="s">
        <v>69</v>
      </c>
      <c r="E4991" s="148">
        <v>22621.237458180003</v>
      </c>
      <c r="F4991" s="148" t="s">
        <v>37</v>
      </c>
    </row>
    <row r="4992" spans="1:6" ht="15.75">
      <c r="A4992" t="str">
        <f t="shared" si="77"/>
        <v>VuiteboeufSolaireECS</v>
      </c>
      <c r="C4992" s="148" t="s">
        <v>595</v>
      </c>
      <c r="D4992" s="148" t="s">
        <v>240</v>
      </c>
      <c r="E4992" s="148">
        <v>70560</v>
      </c>
      <c r="F4992" s="148" t="s">
        <v>37</v>
      </c>
    </row>
    <row r="4993" spans="1:6" ht="15.75">
      <c r="A4993" t="str">
        <f t="shared" si="77"/>
        <v>VulliensBoisECS</v>
      </c>
      <c r="C4993" s="148" t="s">
        <v>596</v>
      </c>
      <c r="D4993" s="148" t="s">
        <v>66</v>
      </c>
      <c r="E4993" s="148">
        <v>166408.06274511997</v>
      </c>
      <c r="F4993" s="148" t="s">
        <v>37</v>
      </c>
    </row>
    <row r="4994" spans="1:6" ht="15.75">
      <c r="A4994" t="str">
        <f t="shared" si="77"/>
        <v>VulliensCADECS</v>
      </c>
      <c r="C4994" s="148" t="s">
        <v>596</v>
      </c>
      <c r="D4994" s="148" t="s">
        <v>242</v>
      </c>
      <c r="E4994" s="148">
        <v>4888.8</v>
      </c>
      <c r="F4994" s="148" t="s">
        <v>37</v>
      </c>
    </row>
    <row r="4995" spans="1:6" ht="15.75">
      <c r="A4995" t="str">
        <f t="shared" si="77"/>
        <v>VulliensElectricitéECS</v>
      </c>
      <c r="C4995" s="148" t="s">
        <v>596</v>
      </c>
      <c r="D4995" s="148" t="s">
        <v>97</v>
      </c>
      <c r="E4995" s="148">
        <v>154584.88888889001</v>
      </c>
      <c r="F4995" s="148" t="s">
        <v>37</v>
      </c>
    </row>
    <row r="4996" spans="1:6" ht="15.75">
      <c r="A4996" t="str">
        <f t="shared" si="77"/>
        <v>VulliensGazECS</v>
      </c>
      <c r="C4996" s="148" t="s">
        <v>596</v>
      </c>
      <c r="D4996" s="148" t="s">
        <v>239</v>
      </c>
      <c r="E4996" s="148">
        <v>105596.87979540999</v>
      </c>
      <c r="F4996" s="148" t="s">
        <v>37</v>
      </c>
    </row>
    <row r="4997" spans="1:6" ht="15.75">
      <c r="A4997" t="str">
        <f t="shared" si="77"/>
        <v>VulliensMazoutECS</v>
      </c>
      <c r="C4997" s="148" t="s">
        <v>596</v>
      </c>
      <c r="D4997" s="148" t="s">
        <v>70</v>
      </c>
      <c r="E4997" s="148">
        <v>389659.8588235302</v>
      </c>
      <c r="F4997" s="148" t="s">
        <v>37</v>
      </c>
    </row>
    <row r="4998" spans="1:6" ht="15.75">
      <c r="A4998" t="str">
        <f t="shared" si="77"/>
        <v>VulliensNon renseignéECS</v>
      </c>
      <c r="C4998" s="148" t="s">
        <v>596</v>
      </c>
      <c r="D4998" s="148" t="s">
        <v>696</v>
      </c>
      <c r="E4998" s="148">
        <v>0</v>
      </c>
      <c r="F4998" s="148" t="s">
        <v>37</v>
      </c>
    </row>
    <row r="4999" spans="1:6" ht="15.75">
      <c r="A4999" t="str">
        <f t="shared" si="77"/>
        <v>VulliensPACECS</v>
      </c>
      <c r="C4999" s="148" t="s">
        <v>596</v>
      </c>
      <c r="D4999" s="148" t="s">
        <v>69</v>
      </c>
      <c r="E4999" s="148">
        <v>25319.538461539996</v>
      </c>
      <c r="F4999" s="148" t="s">
        <v>37</v>
      </c>
    </row>
    <row r="5000" spans="1:6" ht="15.75">
      <c r="A5000" t="str">
        <f t="shared" si="77"/>
        <v>VulliensSolaireECS</v>
      </c>
      <c r="C5000" s="148" t="s">
        <v>596</v>
      </c>
      <c r="D5000" s="148" t="s">
        <v>240</v>
      </c>
      <c r="E5000" s="148">
        <v>118528.20000000003</v>
      </c>
      <c r="F5000" s="148" t="s">
        <v>37</v>
      </c>
    </row>
    <row r="5001" spans="1:6" ht="15.75">
      <c r="A5001" t="str">
        <f t="shared" si="77"/>
        <v>VulliensAutre agent énergétiqueECS</v>
      </c>
      <c r="C5001" s="148" t="s">
        <v>596</v>
      </c>
      <c r="D5001" s="148" t="s">
        <v>245</v>
      </c>
      <c r="E5001" s="148">
        <v>2622.1176470599999</v>
      </c>
      <c r="F5001" s="148" t="s">
        <v>37</v>
      </c>
    </row>
    <row r="5002" spans="1:6" ht="15.75">
      <c r="A5002" t="str">
        <f t="shared" si="77"/>
        <v>VullierensAutre agent énergétiqueECS</v>
      </c>
      <c r="C5002" s="148" t="s">
        <v>597</v>
      </c>
      <c r="D5002" s="148" t="s">
        <v>245</v>
      </c>
      <c r="E5002" s="148" t="e">
        <v>#N/A</v>
      </c>
      <c r="F5002" s="148" t="s">
        <v>37</v>
      </c>
    </row>
    <row r="5003" spans="1:6" ht="15.75">
      <c r="A5003" t="str">
        <f t="shared" si="77"/>
        <v>VullierensBoisECS</v>
      </c>
      <c r="C5003" s="148" t="s">
        <v>597</v>
      </c>
      <c r="D5003" s="148" t="s">
        <v>66</v>
      </c>
      <c r="E5003" s="148">
        <v>55923.192156860001</v>
      </c>
      <c r="F5003" s="148" t="s">
        <v>37</v>
      </c>
    </row>
    <row r="5004" spans="1:6" ht="15.75">
      <c r="A5004" t="str">
        <f t="shared" si="77"/>
        <v>VullierensCADECS</v>
      </c>
      <c r="C5004" s="148" t="s">
        <v>597</v>
      </c>
      <c r="D5004" s="148" t="s">
        <v>242</v>
      </c>
      <c r="E5004" s="148">
        <v>840</v>
      </c>
      <c r="F5004" s="148" t="s">
        <v>37</v>
      </c>
    </row>
    <row r="5005" spans="1:6" ht="15.75">
      <c r="A5005" t="str">
        <f t="shared" si="77"/>
        <v>VullierensElectricitéECS</v>
      </c>
      <c r="C5005" s="148" t="s">
        <v>597</v>
      </c>
      <c r="D5005" s="148" t="s">
        <v>97</v>
      </c>
      <c r="E5005" s="148">
        <v>171927.77777777001</v>
      </c>
      <c r="F5005" s="148" t="s">
        <v>37</v>
      </c>
    </row>
    <row r="5006" spans="1:6" ht="15.75">
      <c r="A5006" t="str">
        <f t="shared" si="77"/>
        <v>VullierensGazECS</v>
      </c>
      <c r="C5006" s="148" t="s">
        <v>597</v>
      </c>
      <c r="D5006" s="148" t="s">
        <v>239</v>
      </c>
      <c r="E5006" s="148">
        <v>246072.1278771701</v>
      </c>
      <c r="F5006" s="148" t="s">
        <v>37</v>
      </c>
    </row>
    <row r="5007" spans="1:6" ht="15.75">
      <c r="A5007" t="str">
        <f t="shared" si="77"/>
        <v>VullierensMazoutECS</v>
      </c>
      <c r="C5007" s="148" t="s">
        <v>597</v>
      </c>
      <c r="D5007" s="148" t="s">
        <v>70</v>
      </c>
      <c r="E5007" s="148">
        <v>432890.7508021401</v>
      </c>
      <c r="F5007" s="148" t="s">
        <v>37</v>
      </c>
    </row>
    <row r="5008" spans="1:6" ht="15.75">
      <c r="A5008" t="str">
        <f t="shared" si="77"/>
        <v>VullierensNon renseignéECS</v>
      </c>
      <c r="C5008" s="148" t="s">
        <v>597</v>
      </c>
      <c r="D5008" s="148" t="s">
        <v>696</v>
      </c>
      <c r="E5008" s="148">
        <v>0</v>
      </c>
      <c r="F5008" s="148" t="s">
        <v>37</v>
      </c>
    </row>
    <row r="5009" spans="1:6" ht="15.75">
      <c r="A5009" t="str">
        <f t="shared" si="77"/>
        <v>VullierensPACECS</v>
      </c>
      <c r="C5009" s="148" t="s">
        <v>597</v>
      </c>
      <c r="D5009" s="148" t="s">
        <v>69</v>
      </c>
      <c r="E5009" s="148">
        <v>7477.6153846000016</v>
      </c>
      <c r="F5009" s="148" t="s">
        <v>37</v>
      </c>
    </row>
    <row r="5010" spans="1:6" ht="15.75">
      <c r="A5010" t="str">
        <f t="shared" si="77"/>
        <v>VullierensSolaireECS</v>
      </c>
      <c r="C5010" s="148" t="s">
        <v>597</v>
      </c>
      <c r="D5010" s="148" t="s">
        <v>240</v>
      </c>
      <c r="E5010" s="148">
        <v>74090.799999999988</v>
      </c>
      <c r="F5010" s="148" t="s">
        <v>37</v>
      </c>
    </row>
    <row r="5011" spans="1:6" ht="15.75">
      <c r="A5011" t="str">
        <f t="shared" ref="A5011:A5057" si="78">_xlfn.CONCAT(C5011,D5011,F5011)</f>
        <v>Vully-les-LacsAutre agent énergétiqueECS</v>
      </c>
      <c r="C5011" s="148" t="s">
        <v>694</v>
      </c>
      <c r="D5011" s="148" t="s">
        <v>245</v>
      </c>
      <c r="E5011" s="148">
        <v>7958.5882353000006</v>
      </c>
      <c r="F5011" s="148" t="s">
        <v>37</v>
      </c>
    </row>
    <row r="5012" spans="1:6" ht="15.75">
      <c r="A5012" t="str">
        <f t="shared" si="78"/>
        <v>Vully-les-LacsBoisECS</v>
      </c>
      <c r="C5012" s="148" t="s">
        <v>694</v>
      </c>
      <c r="D5012" s="148" t="s">
        <v>66</v>
      </c>
      <c r="E5012" s="148">
        <v>635801.79764707002</v>
      </c>
      <c r="F5012" s="148" t="s">
        <v>37</v>
      </c>
    </row>
    <row r="5013" spans="1:6" ht="15.75">
      <c r="A5013" t="str">
        <f t="shared" si="78"/>
        <v>Vully-les-LacsCADECS</v>
      </c>
      <c r="C5013" s="148" t="s">
        <v>694</v>
      </c>
      <c r="D5013" s="148" t="s">
        <v>242</v>
      </c>
      <c r="E5013" s="148">
        <v>1657.6000000000001</v>
      </c>
      <c r="F5013" s="148" t="s">
        <v>37</v>
      </c>
    </row>
    <row r="5014" spans="1:6" ht="15.75">
      <c r="A5014" t="str">
        <f t="shared" si="78"/>
        <v>Vully-les-LacsCharbonECS</v>
      </c>
      <c r="C5014" s="148" t="s">
        <v>694</v>
      </c>
      <c r="D5014" s="148" t="s">
        <v>695</v>
      </c>
      <c r="E5014" s="148" t="e">
        <v>#N/A</v>
      </c>
      <c r="F5014" s="148" t="s">
        <v>37</v>
      </c>
    </row>
    <row r="5015" spans="1:6" ht="15.75">
      <c r="A5015" t="str">
        <f t="shared" si="78"/>
        <v>Vully-les-LacsElectricitéECS</v>
      </c>
      <c r="C5015" s="148" t="s">
        <v>694</v>
      </c>
      <c r="D5015" s="148" t="s">
        <v>97</v>
      </c>
      <c r="E5015" s="148">
        <v>1651189.5555556691</v>
      </c>
      <c r="F5015" s="148" t="s">
        <v>37</v>
      </c>
    </row>
    <row r="5016" spans="1:6" ht="15.75">
      <c r="A5016" t="str">
        <f t="shared" si="78"/>
        <v>Vully-les-LacsGazECS</v>
      </c>
      <c r="C5016" s="148" t="s">
        <v>694</v>
      </c>
      <c r="D5016" s="148" t="s">
        <v>239</v>
      </c>
      <c r="E5016" s="148">
        <v>78035.645524330015</v>
      </c>
      <c r="F5016" s="148" t="s">
        <v>37</v>
      </c>
    </row>
    <row r="5017" spans="1:6" ht="15.75">
      <c r="A5017" t="str">
        <f t="shared" si="78"/>
        <v>Vully-les-LacsMazoutECS</v>
      </c>
      <c r="C5017" s="148" t="s">
        <v>694</v>
      </c>
      <c r="D5017" s="148" t="s">
        <v>70</v>
      </c>
      <c r="E5017" s="148">
        <v>2498606.7347592805</v>
      </c>
      <c r="F5017" s="148" t="s">
        <v>37</v>
      </c>
    </row>
    <row r="5018" spans="1:6" ht="15.75">
      <c r="A5018" t="str">
        <f t="shared" si="78"/>
        <v>Vully-les-LacsNon renseignéECS</v>
      </c>
      <c r="C5018" s="148" t="s">
        <v>694</v>
      </c>
      <c r="D5018" s="148" t="s">
        <v>696</v>
      </c>
      <c r="E5018" s="148">
        <v>0</v>
      </c>
      <c r="F5018" s="148" t="s">
        <v>37</v>
      </c>
    </row>
    <row r="5019" spans="1:6" ht="15.75">
      <c r="A5019" t="str">
        <f t="shared" si="78"/>
        <v>Vully-les-LacsPACECS</v>
      </c>
      <c r="C5019" s="148" t="s">
        <v>694</v>
      </c>
      <c r="D5019" s="148" t="s">
        <v>69</v>
      </c>
      <c r="E5019" s="148">
        <v>282922.07660098019</v>
      </c>
      <c r="F5019" s="148" t="s">
        <v>37</v>
      </c>
    </row>
    <row r="5020" spans="1:6" ht="15.75">
      <c r="A5020" t="str">
        <f t="shared" si="78"/>
        <v>Vully-les-LacsSolaireECS</v>
      </c>
      <c r="C5020" s="148" t="s">
        <v>694</v>
      </c>
      <c r="D5020" s="148" t="s">
        <v>240</v>
      </c>
      <c r="E5020" s="148">
        <v>942690.59111110982</v>
      </c>
      <c r="F5020" s="148" t="s">
        <v>37</v>
      </c>
    </row>
    <row r="5021" spans="1:6" ht="15.75">
      <c r="A5021" t="str">
        <f t="shared" si="78"/>
        <v>YensAutre agent énergétiqueECS</v>
      </c>
      <c r="C5021" s="148" t="s">
        <v>598</v>
      </c>
      <c r="D5021" s="148" t="s">
        <v>245</v>
      </c>
      <c r="E5021" s="148">
        <v>177.88235294</v>
      </c>
      <c r="F5021" s="148" t="s">
        <v>37</v>
      </c>
    </row>
    <row r="5022" spans="1:6" ht="15.75">
      <c r="A5022" t="str">
        <f t="shared" si="78"/>
        <v>YensBoisECS</v>
      </c>
      <c r="C5022" s="148" t="s">
        <v>598</v>
      </c>
      <c r="D5022" s="148" t="s">
        <v>66</v>
      </c>
      <c r="E5022" s="148">
        <v>189684.12235294</v>
      </c>
      <c r="F5022" s="148" t="s">
        <v>37</v>
      </c>
    </row>
    <row r="5023" spans="1:6" ht="15.75">
      <c r="A5023" t="str">
        <f t="shared" si="78"/>
        <v>YensCADECS</v>
      </c>
      <c r="C5023" s="148" t="s">
        <v>598</v>
      </c>
      <c r="D5023" s="148" t="s">
        <v>242</v>
      </c>
      <c r="E5023" s="148">
        <v>621.6</v>
      </c>
      <c r="F5023" s="148" t="s">
        <v>37</v>
      </c>
    </row>
    <row r="5024" spans="1:6" ht="15.75">
      <c r="A5024" t="str">
        <f t="shared" si="78"/>
        <v>YensElectricitéECS</v>
      </c>
      <c r="C5024" s="148" t="s">
        <v>598</v>
      </c>
      <c r="D5024" s="148" t="s">
        <v>97</v>
      </c>
      <c r="E5024" s="148">
        <v>333367.99999997002</v>
      </c>
      <c r="F5024" s="148" t="s">
        <v>37</v>
      </c>
    </row>
    <row r="5025" spans="1:6" ht="15.75">
      <c r="A5025" t="str">
        <f t="shared" si="78"/>
        <v>YensGazECS</v>
      </c>
      <c r="C5025" s="148" t="s">
        <v>598</v>
      </c>
      <c r="D5025" s="148" t="s">
        <v>239</v>
      </c>
      <c r="E5025" s="148">
        <v>501907.88439895987</v>
      </c>
      <c r="F5025" s="148" t="s">
        <v>37</v>
      </c>
    </row>
    <row r="5026" spans="1:6" ht="15.75">
      <c r="A5026" t="str">
        <f t="shared" si="78"/>
        <v>YensMazoutECS</v>
      </c>
      <c r="C5026" s="148" t="s">
        <v>598</v>
      </c>
      <c r="D5026" s="148" t="s">
        <v>70</v>
      </c>
      <c r="E5026" s="148">
        <v>717262.82352938969</v>
      </c>
      <c r="F5026" s="148" t="s">
        <v>37</v>
      </c>
    </row>
    <row r="5027" spans="1:6" ht="15.75">
      <c r="A5027" t="str">
        <f t="shared" si="78"/>
        <v>YensNon renseignéECS</v>
      </c>
      <c r="C5027" s="148" t="s">
        <v>598</v>
      </c>
      <c r="D5027" s="148" t="s">
        <v>696</v>
      </c>
      <c r="E5027" s="148">
        <v>0</v>
      </c>
      <c r="F5027" s="148" t="s">
        <v>37</v>
      </c>
    </row>
    <row r="5028" spans="1:6" ht="15.75">
      <c r="A5028" t="str">
        <f t="shared" si="78"/>
        <v>YensPACECS</v>
      </c>
      <c r="C5028" s="148" t="s">
        <v>598</v>
      </c>
      <c r="D5028" s="148" t="s">
        <v>69</v>
      </c>
      <c r="E5028" s="148">
        <v>41991.847640279993</v>
      </c>
      <c r="F5028" s="148" t="s">
        <v>37</v>
      </c>
    </row>
    <row r="5029" spans="1:6" ht="15.75">
      <c r="A5029" t="str">
        <f t="shared" si="78"/>
        <v>YensSolaireECS</v>
      </c>
      <c r="C5029" s="148" t="s">
        <v>598</v>
      </c>
      <c r="D5029" s="148" t="s">
        <v>240</v>
      </c>
      <c r="E5029" s="148">
        <v>309113.70000000007</v>
      </c>
      <c r="F5029" s="148" t="s">
        <v>37</v>
      </c>
    </row>
    <row r="5030" spans="1:6" ht="15.75">
      <c r="A5030" t="str">
        <f t="shared" si="78"/>
        <v>Yverdon-les-BainsAutre agent énergétiqueECS</v>
      </c>
      <c r="C5030" s="148" t="s">
        <v>602</v>
      </c>
      <c r="D5030" s="148" t="s">
        <v>245</v>
      </c>
      <c r="E5030" s="148">
        <v>136903.52941175998</v>
      </c>
      <c r="F5030" s="148" t="s">
        <v>37</v>
      </c>
    </row>
    <row r="5031" spans="1:6" ht="15.75">
      <c r="A5031" t="str">
        <f t="shared" si="78"/>
        <v>Yverdon-les-BainsBoisECS</v>
      </c>
      <c r="C5031" s="148" t="s">
        <v>602</v>
      </c>
      <c r="D5031" s="148" t="s">
        <v>66</v>
      </c>
      <c r="E5031" s="148">
        <v>1146437.5999999999</v>
      </c>
      <c r="F5031" s="148" t="s">
        <v>37</v>
      </c>
    </row>
    <row r="5032" spans="1:6" ht="15.75">
      <c r="A5032" t="str">
        <f t="shared" si="78"/>
        <v>Yverdon-les-BainsCADECS</v>
      </c>
      <c r="C5032" s="148" t="s">
        <v>602</v>
      </c>
      <c r="D5032" s="148" t="s">
        <v>242</v>
      </c>
      <c r="E5032" s="148">
        <v>703208.79999999993</v>
      </c>
      <c r="F5032" s="148" t="s">
        <v>37</v>
      </c>
    </row>
    <row r="5033" spans="1:6" ht="15.75">
      <c r="A5033" t="str">
        <f t="shared" si="78"/>
        <v>Yverdon-les-BainsCharbonECS</v>
      </c>
      <c r="C5033" s="148" t="s">
        <v>602</v>
      </c>
      <c r="D5033" s="148" t="s">
        <v>695</v>
      </c>
      <c r="E5033" s="148" t="e">
        <v>#N/A</v>
      </c>
      <c r="F5033" s="148" t="s">
        <v>37</v>
      </c>
    </row>
    <row r="5034" spans="1:6" ht="15.75">
      <c r="A5034" t="str">
        <f t="shared" si="78"/>
        <v>Yverdon-les-BainsElectricitéECS</v>
      </c>
      <c r="C5034" s="148" t="s">
        <v>602</v>
      </c>
      <c r="D5034" s="148" t="s">
        <v>97</v>
      </c>
      <c r="E5034" s="148">
        <v>3271957.1111110812</v>
      </c>
      <c r="F5034" s="148" t="s">
        <v>37</v>
      </c>
    </row>
    <row r="5035" spans="1:6" ht="15.75">
      <c r="A5035" t="str">
        <f t="shared" si="78"/>
        <v>Yverdon-les-BainsGazECS</v>
      </c>
      <c r="C5035" s="148" t="s">
        <v>602</v>
      </c>
      <c r="D5035" s="148" t="s">
        <v>239</v>
      </c>
      <c r="E5035" s="148">
        <v>17826971.837794922</v>
      </c>
      <c r="F5035" s="148" t="s">
        <v>37</v>
      </c>
    </row>
    <row r="5036" spans="1:6" ht="15.75">
      <c r="A5036" t="str">
        <f t="shared" si="78"/>
        <v>Yverdon-les-BainsMazoutECS</v>
      </c>
      <c r="C5036" s="148" t="s">
        <v>602</v>
      </c>
      <c r="D5036" s="148" t="s">
        <v>70</v>
      </c>
      <c r="E5036" s="148">
        <v>13724727.391653376</v>
      </c>
      <c r="F5036" s="148" t="s">
        <v>37</v>
      </c>
    </row>
    <row r="5037" spans="1:6" ht="15.75">
      <c r="A5037" t="str">
        <f t="shared" si="78"/>
        <v>Yverdon-les-BainsNon renseignéECS</v>
      </c>
      <c r="C5037" s="148" t="s">
        <v>602</v>
      </c>
      <c r="D5037" s="148" t="s">
        <v>696</v>
      </c>
      <c r="E5037" s="148">
        <v>0</v>
      </c>
      <c r="F5037" s="148" t="s">
        <v>37</v>
      </c>
    </row>
    <row r="5038" spans="1:6" ht="15.75">
      <c r="A5038" t="str">
        <f t="shared" si="78"/>
        <v>Yverdon-les-BainsPACECS</v>
      </c>
      <c r="C5038" s="148" t="s">
        <v>602</v>
      </c>
      <c r="D5038" s="148" t="s">
        <v>69</v>
      </c>
      <c r="E5038" s="148">
        <v>122321.45274369999</v>
      </c>
      <c r="F5038" s="148" t="s">
        <v>37</v>
      </c>
    </row>
    <row r="5039" spans="1:6" ht="15.75">
      <c r="A5039" t="str">
        <f t="shared" si="78"/>
        <v>Yverdon-les-BainsSolaireECS</v>
      </c>
      <c r="C5039" s="148" t="s">
        <v>602</v>
      </c>
      <c r="D5039" s="148" t="s">
        <v>240</v>
      </c>
      <c r="E5039" s="148">
        <v>1265978.7082352899</v>
      </c>
      <c r="F5039" s="148" t="s">
        <v>37</v>
      </c>
    </row>
    <row r="5040" spans="1:6" ht="15.75">
      <c r="A5040" t="str">
        <f t="shared" si="78"/>
        <v>YvonandAutre agent énergétiqueECS</v>
      </c>
      <c r="C5040" s="148" t="s">
        <v>599</v>
      </c>
      <c r="D5040" s="148" t="s">
        <v>245</v>
      </c>
      <c r="E5040" s="148">
        <v>17959.52941177</v>
      </c>
      <c r="F5040" s="148" t="s">
        <v>37</v>
      </c>
    </row>
    <row r="5041" spans="1:6" ht="15.75">
      <c r="A5041" t="str">
        <f t="shared" si="78"/>
        <v>YvonandBoisECS</v>
      </c>
      <c r="C5041" s="148" t="s">
        <v>599</v>
      </c>
      <c r="D5041" s="148" t="s">
        <v>66</v>
      </c>
      <c r="E5041" s="148">
        <v>519123.62352943013</v>
      </c>
      <c r="F5041" s="148" t="s">
        <v>37</v>
      </c>
    </row>
    <row r="5042" spans="1:6" ht="15.75">
      <c r="A5042" t="str">
        <f t="shared" si="78"/>
        <v>YvonandCADECS</v>
      </c>
      <c r="C5042" s="148" t="s">
        <v>599</v>
      </c>
      <c r="D5042" s="148" t="s">
        <v>242</v>
      </c>
      <c r="E5042" s="148">
        <v>117074.3</v>
      </c>
      <c r="F5042" s="148" t="s">
        <v>37</v>
      </c>
    </row>
    <row r="5043" spans="1:6" ht="15.75">
      <c r="A5043" t="str">
        <f t="shared" si="78"/>
        <v>YvonandCharbonECS</v>
      </c>
      <c r="C5043" s="148" t="s">
        <v>599</v>
      </c>
      <c r="D5043" s="148" t="s">
        <v>695</v>
      </c>
      <c r="E5043" s="148" t="e">
        <v>#N/A</v>
      </c>
      <c r="F5043" s="148" t="s">
        <v>37</v>
      </c>
    </row>
    <row r="5044" spans="1:6" ht="15.75">
      <c r="A5044" t="str">
        <f t="shared" si="78"/>
        <v>YvonandElectricitéECS</v>
      </c>
      <c r="C5044" s="148" t="s">
        <v>599</v>
      </c>
      <c r="D5044" s="148" t="s">
        <v>97</v>
      </c>
      <c r="E5044" s="148">
        <v>786116.53131307021</v>
      </c>
      <c r="F5044" s="148" t="s">
        <v>37</v>
      </c>
    </row>
    <row r="5045" spans="1:6" ht="15.75">
      <c r="A5045" t="str">
        <f t="shared" si="78"/>
        <v>YvonandGazECS</v>
      </c>
      <c r="C5045" s="148" t="s">
        <v>599</v>
      </c>
      <c r="D5045" s="148" t="s">
        <v>239</v>
      </c>
      <c r="E5045" s="148">
        <v>841838.17135550966</v>
      </c>
      <c r="F5045" s="148" t="s">
        <v>37</v>
      </c>
    </row>
    <row r="5046" spans="1:6" ht="15.75">
      <c r="A5046" t="str">
        <f t="shared" si="78"/>
        <v>YvonandMazoutECS</v>
      </c>
      <c r="C5046" s="148" t="s">
        <v>599</v>
      </c>
      <c r="D5046" s="148" t="s">
        <v>70</v>
      </c>
      <c r="E5046" s="148">
        <v>2051698.8470587404</v>
      </c>
      <c r="F5046" s="148" t="s">
        <v>37</v>
      </c>
    </row>
    <row r="5047" spans="1:6" ht="15.75">
      <c r="A5047" t="str">
        <f t="shared" si="78"/>
        <v>YvonandNon renseignéECS</v>
      </c>
      <c r="C5047" s="148" t="s">
        <v>599</v>
      </c>
      <c r="D5047" s="148" t="s">
        <v>696</v>
      </c>
      <c r="E5047" s="148">
        <v>0</v>
      </c>
      <c r="F5047" s="148" t="s">
        <v>37</v>
      </c>
    </row>
    <row r="5048" spans="1:6" ht="15.75">
      <c r="A5048" t="str">
        <f t="shared" si="78"/>
        <v>YvonandPACECS</v>
      </c>
      <c r="C5048" s="148" t="s">
        <v>599</v>
      </c>
      <c r="D5048" s="148" t="s">
        <v>69</v>
      </c>
      <c r="E5048" s="148">
        <v>65522.504149639979</v>
      </c>
      <c r="F5048" s="148" t="s">
        <v>37</v>
      </c>
    </row>
    <row r="5049" spans="1:6" ht="15.75">
      <c r="A5049" t="str">
        <f t="shared" si="78"/>
        <v>YvonandSolaireECS</v>
      </c>
      <c r="C5049" s="148" t="s">
        <v>599</v>
      </c>
      <c r="D5049" s="148" t="s">
        <v>240</v>
      </c>
      <c r="E5049" s="148">
        <v>495091.8</v>
      </c>
      <c r="F5049" s="148" t="s">
        <v>37</v>
      </c>
    </row>
    <row r="5050" spans="1:6" ht="15.75">
      <c r="A5050" t="str">
        <f t="shared" si="78"/>
        <v>YvorneBoisECS</v>
      </c>
      <c r="C5050" s="148" t="s">
        <v>600</v>
      </c>
      <c r="D5050" s="148" t="s">
        <v>66</v>
      </c>
      <c r="E5050" s="148">
        <v>44040.047058820004</v>
      </c>
      <c r="F5050" s="148" t="s">
        <v>37</v>
      </c>
    </row>
    <row r="5051" spans="1:6" ht="15.75">
      <c r="A5051" t="str">
        <f t="shared" si="78"/>
        <v>YvorneElectricitéECS</v>
      </c>
      <c r="C5051" s="148" t="s">
        <v>600</v>
      </c>
      <c r="D5051" s="148" t="s">
        <v>97</v>
      </c>
      <c r="E5051" s="148">
        <v>214186.31111116006</v>
      </c>
      <c r="F5051" s="148" t="s">
        <v>37</v>
      </c>
    </row>
    <row r="5052" spans="1:6" ht="15.75">
      <c r="A5052" t="str">
        <f t="shared" si="78"/>
        <v>YvorneGazECS</v>
      </c>
      <c r="C5052" s="148" t="s">
        <v>600</v>
      </c>
      <c r="D5052" s="148" t="s">
        <v>239</v>
      </c>
      <c r="E5052" s="148">
        <v>441983.25115084019</v>
      </c>
      <c r="F5052" s="148" t="s">
        <v>37</v>
      </c>
    </row>
    <row r="5053" spans="1:6" ht="15.75">
      <c r="A5053" t="str">
        <f t="shared" si="78"/>
        <v>YvorneMazoutECS</v>
      </c>
      <c r="C5053" s="148" t="s">
        <v>600</v>
      </c>
      <c r="D5053" s="148" t="s">
        <v>70</v>
      </c>
      <c r="E5053" s="148">
        <v>848835.48235297971</v>
      </c>
      <c r="F5053" s="148" t="s">
        <v>37</v>
      </c>
    </row>
    <row r="5054" spans="1:6" ht="15.75">
      <c r="A5054" t="str">
        <f t="shared" si="78"/>
        <v>YvorneNon renseignéECS</v>
      </c>
      <c r="C5054" s="148" t="s">
        <v>600</v>
      </c>
      <c r="D5054" s="148" t="s">
        <v>696</v>
      </c>
      <c r="E5054" s="148">
        <v>0</v>
      </c>
      <c r="F5054" s="148" t="s">
        <v>37</v>
      </c>
    </row>
    <row r="5055" spans="1:6" ht="15.75">
      <c r="A5055" t="str">
        <f t="shared" si="78"/>
        <v>YvornePACECS</v>
      </c>
      <c r="C5055" s="148" t="s">
        <v>600</v>
      </c>
      <c r="D5055" s="148" t="s">
        <v>69</v>
      </c>
      <c r="E5055" s="148">
        <v>20304.822742450004</v>
      </c>
      <c r="F5055" s="148" t="s">
        <v>37</v>
      </c>
    </row>
    <row r="5056" spans="1:6" ht="15.75">
      <c r="A5056" t="str">
        <f t="shared" si="78"/>
        <v>YvorneAutre agent énergétiqueECS</v>
      </c>
      <c r="C5056" s="148" t="s">
        <v>600</v>
      </c>
      <c r="D5056" s="148" t="s">
        <v>245</v>
      </c>
      <c r="E5056" s="148">
        <v>4242.8235294099995</v>
      </c>
      <c r="F5056" s="148" t="s">
        <v>37</v>
      </c>
    </row>
    <row r="5057" spans="1:6" ht="15.75">
      <c r="A5057" t="str">
        <f t="shared" si="78"/>
        <v>YvorneSolaireECS</v>
      </c>
      <c r="C5057" s="148" t="s">
        <v>600</v>
      </c>
      <c r="D5057" s="148" t="s">
        <v>240</v>
      </c>
      <c r="E5057" s="148">
        <v>141999.19999999998</v>
      </c>
      <c r="F5057" s="148" t="s">
        <v>37</v>
      </c>
    </row>
  </sheetData>
  <sortState xmlns:xlrd2="http://schemas.microsoft.com/office/spreadsheetml/2017/richdata2" ref="B4:E2529">
    <sortCondition ref="C2529"/>
  </sortState>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DE7D4E-DA71-EE48-A607-F7AB5FA4B54F}">
  <sheetPr codeName="Sheet12">
    <tabColor theme="9"/>
  </sheetPr>
  <dimension ref="A1:CS16"/>
  <sheetViews>
    <sheetView topLeftCell="B1" zoomScale="80" zoomScaleNormal="80" workbookViewId="0">
      <pane ySplit="3" topLeftCell="A4" activePane="bottomLeft" state="frozen"/>
      <selection pane="bottomLeft" activeCell="F13" sqref="F13"/>
    </sheetView>
  </sheetViews>
  <sheetFormatPr baseColWidth="10" defaultColWidth="0" defaultRowHeight="15" customHeight="1" zeroHeight="1"/>
  <cols>
    <col min="1" max="1" width="2.125" customWidth="1"/>
    <col min="2" max="2" width="28.625" customWidth="1"/>
    <col min="3" max="3" width="25" customWidth="1"/>
    <col min="4" max="4" width="21.625" customWidth="1"/>
    <col min="5" max="5" width="24.625" customWidth="1"/>
    <col min="6" max="6" width="84" customWidth="1"/>
    <col min="7" max="7" width="20" bestFit="1" customWidth="1"/>
    <col min="8" max="8" width="23" customWidth="1"/>
    <col min="9" max="9" width="6.5" customWidth="1"/>
    <col min="10" max="10" width="10.875" customWidth="1"/>
    <col min="11" max="97" width="0" hidden="1" customWidth="1"/>
    <col min="98" max="16384" width="10.875" hidden="1"/>
  </cols>
  <sheetData>
    <row r="1" spans="1:96" s="179" customFormat="1" ht="39.950000000000003" customHeight="1">
      <c r="A1" s="21" t="s">
        <v>827</v>
      </c>
      <c r="B1" s="357"/>
      <c r="C1" s="357"/>
      <c r="D1" s="21"/>
      <c r="E1" s="358"/>
      <c r="F1" s="358"/>
      <c r="G1" s="21"/>
      <c r="H1" s="21"/>
      <c r="I1" s="21"/>
      <c r="J1" s="21"/>
    </row>
    <row r="2" spans="1:96" ht="16.5" thickBot="1">
      <c r="A2" s="2"/>
      <c r="B2" s="2"/>
      <c r="C2" s="2"/>
      <c r="D2" s="2"/>
      <c r="E2" s="2"/>
      <c r="F2" s="2"/>
      <c r="G2" s="2"/>
      <c r="H2" s="2"/>
      <c r="I2" s="2"/>
      <c r="J2" s="2"/>
    </row>
    <row r="3" spans="1:96" s="20" customFormat="1" ht="16.5" thickBot="1">
      <c r="B3" s="146" t="s">
        <v>24</v>
      </c>
      <c r="C3" s="147" t="s">
        <v>737</v>
      </c>
      <c r="D3" s="147" t="s">
        <v>53</v>
      </c>
      <c r="E3" s="147" t="s">
        <v>738</v>
      </c>
      <c r="F3" s="147" t="s">
        <v>739</v>
      </c>
      <c r="G3" s="147" t="s">
        <v>740</v>
      </c>
      <c r="H3" s="147" t="s">
        <v>52</v>
      </c>
      <c r="I3" s="25"/>
      <c r="K3" s="180"/>
      <c r="L3" s="180"/>
      <c r="M3" s="180"/>
      <c r="N3" s="180"/>
      <c r="O3" s="180"/>
      <c r="P3" s="180"/>
      <c r="Q3" s="180"/>
      <c r="R3" s="180"/>
      <c r="S3" s="180"/>
      <c r="T3" s="180"/>
      <c r="U3" s="180"/>
      <c r="V3" s="180"/>
      <c r="W3" s="180"/>
      <c r="X3" s="180"/>
      <c r="Y3" s="180"/>
      <c r="Z3" s="180"/>
      <c r="AA3" s="180"/>
      <c r="AB3" s="180"/>
      <c r="AC3" s="180"/>
      <c r="AD3" s="180"/>
      <c r="AE3" s="180"/>
      <c r="AF3" s="180"/>
      <c r="AG3" s="180"/>
      <c r="AH3" s="180"/>
      <c r="AI3" s="180"/>
      <c r="AJ3" s="180"/>
      <c r="AK3" s="180"/>
      <c r="AL3" s="180"/>
      <c r="AM3" s="180"/>
      <c r="AN3" s="180"/>
      <c r="AO3" s="180"/>
      <c r="AP3" s="180"/>
      <c r="AQ3" s="180"/>
      <c r="AR3" s="180"/>
      <c r="AS3" s="180"/>
      <c r="AT3" s="180"/>
      <c r="AU3" s="180"/>
      <c r="AV3" s="180"/>
      <c r="AW3" s="180"/>
      <c r="AX3" s="180"/>
      <c r="AY3" s="180"/>
      <c r="AZ3" s="180"/>
      <c r="BA3" s="180"/>
      <c r="BB3" s="180"/>
      <c r="BC3" s="180"/>
      <c r="BD3" s="180"/>
      <c r="BE3" s="180"/>
      <c r="BF3" s="180"/>
      <c r="BG3" s="180"/>
      <c r="BH3" s="180"/>
      <c r="BI3" s="180"/>
      <c r="BJ3" s="180"/>
      <c r="BK3" s="180"/>
      <c r="BL3" s="180"/>
      <c r="BM3" s="180"/>
      <c r="BN3" s="180"/>
      <c r="BO3" s="180"/>
      <c r="BP3" s="180"/>
      <c r="BQ3" s="180"/>
      <c r="BR3" s="180"/>
      <c r="BS3" s="180"/>
      <c r="BT3" s="180"/>
      <c r="BU3" s="180"/>
      <c r="BV3" s="180"/>
      <c r="BW3" s="180"/>
      <c r="BX3" s="180"/>
      <c r="BY3" s="180"/>
      <c r="BZ3" s="180"/>
      <c r="CA3" s="180"/>
      <c r="CB3" s="180"/>
      <c r="CC3" s="180"/>
      <c r="CD3" s="180"/>
      <c r="CE3" s="180"/>
      <c r="CF3" s="180"/>
      <c r="CG3" s="180"/>
      <c r="CH3" s="180"/>
      <c r="CI3" s="180"/>
      <c r="CJ3" s="180"/>
      <c r="CK3" s="180"/>
      <c r="CL3" s="180"/>
      <c r="CM3" s="180"/>
      <c r="CN3" s="180"/>
      <c r="CO3" s="180"/>
      <c r="CP3" s="180"/>
      <c r="CQ3" s="180"/>
      <c r="CR3" s="180"/>
    </row>
    <row r="4" spans="1:96" ht="16.5" thickBot="1">
      <c r="A4" s="2"/>
      <c r="B4" s="2"/>
      <c r="C4" s="2"/>
      <c r="D4" s="2"/>
      <c r="E4" s="2"/>
      <c r="F4" s="2"/>
      <c r="G4" s="2"/>
      <c r="H4" s="2"/>
      <c r="I4" s="2"/>
      <c r="J4" s="2"/>
    </row>
    <row r="5" spans="1:96" ht="20.100000000000001" customHeight="1">
      <c r="A5" s="2"/>
      <c r="B5" s="436" t="s">
        <v>767</v>
      </c>
      <c r="C5" s="437"/>
      <c r="D5" s="437"/>
      <c r="E5" s="437"/>
      <c r="F5" s="437"/>
      <c r="G5" s="437"/>
      <c r="H5" s="437"/>
      <c r="I5" s="438"/>
      <c r="J5" s="2"/>
    </row>
    <row r="6" spans="1:96" ht="47.25">
      <c r="A6" s="2"/>
      <c r="B6" s="181" t="s">
        <v>148</v>
      </c>
      <c r="C6" s="183" t="s">
        <v>824</v>
      </c>
      <c r="D6" s="182" t="s">
        <v>770</v>
      </c>
      <c r="E6" s="183" t="s">
        <v>742</v>
      </c>
      <c r="F6" s="351" t="s">
        <v>821</v>
      </c>
      <c r="G6" s="184" t="s">
        <v>743</v>
      </c>
      <c r="H6" s="182" t="s">
        <v>55</v>
      </c>
      <c r="I6" s="202"/>
      <c r="J6" s="2"/>
    </row>
    <row r="7" spans="1:96" ht="78.75">
      <c r="A7" s="2"/>
      <c r="B7" s="434" t="s">
        <v>98</v>
      </c>
      <c r="C7" s="186" t="s">
        <v>769</v>
      </c>
      <c r="D7" s="187" t="s">
        <v>770</v>
      </c>
      <c r="E7" s="186" t="s">
        <v>771</v>
      </c>
      <c r="F7" s="186" t="s">
        <v>871</v>
      </c>
      <c r="G7" s="190" t="s">
        <v>747</v>
      </c>
      <c r="H7" s="187" t="s">
        <v>55</v>
      </c>
      <c r="I7" s="189"/>
      <c r="J7" s="2"/>
    </row>
    <row r="8" spans="1:96" ht="63">
      <c r="A8" s="2"/>
      <c r="B8" s="439"/>
      <c r="C8" s="186" t="s">
        <v>772</v>
      </c>
      <c r="D8" s="187" t="s">
        <v>770</v>
      </c>
      <c r="E8" s="186" t="s">
        <v>773</v>
      </c>
      <c r="F8" s="186" t="s">
        <v>822</v>
      </c>
      <c r="G8" s="188" t="s">
        <v>743</v>
      </c>
      <c r="H8" s="187" t="s">
        <v>55</v>
      </c>
      <c r="I8" s="189"/>
      <c r="J8" s="2"/>
    </row>
    <row r="9" spans="1:96" ht="15.75" hidden="1">
      <c r="B9" s="352"/>
      <c r="C9" s="180"/>
      <c r="D9" s="180"/>
      <c r="E9" s="180"/>
      <c r="F9" s="180"/>
      <c r="I9" s="353"/>
    </row>
    <row r="10" spans="1:96" ht="63">
      <c r="A10" s="2"/>
      <c r="B10" s="440" t="s">
        <v>774</v>
      </c>
      <c r="C10" s="182" t="s">
        <v>117</v>
      </c>
      <c r="D10" s="182" t="s">
        <v>770</v>
      </c>
      <c r="E10" s="183" t="s">
        <v>120</v>
      </c>
      <c r="F10" s="203" t="s">
        <v>775</v>
      </c>
      <c r="G10" s="184" t="s">
        <v>745</v>
      </c>
      <c r="H10" s="182" t="s">
        <v>55</v>
      </c>
      <c r="I10" s="185"/>
      <c r="J10" s="2"/>
    </row>
    <row r="11" spans="1:96" ht="63">
      <c r="A11" s="2"/>
      <c r="B11" s="448"/>
      <c r="C11" s="182" t="s">
        <v>125</v>
      </c>
      <c r="D11" s="182" t="s">
        <v>770</v>
      </c>
      <c r="E11" s="183" t="s">
        <v>776</v>
      </c>
      <c r="F11" s="203" t="s">
        <v>823</v>
      </c>
      <c r="G11" s="184" t="s">
        <v>745</v>
      </c>
      <c r="H11" s="182" t="s">
        <v>55</v>
      </c>
      <c r="I11" s="185"/>
      <c r="J11" s="2"/>
    </row>
    <row r="12" spans="1:96" ht="126" customHeight="1">
      <c r="A12" s="2"/>
      <c r="B12" s="448"/>
      <c r="C12" s="182" t="s">
        <v>136</v>
      </c>
      <c r="D12" s="182" t="s">
        <v>770</v>
      </c>
      <c r="E12" s="183" t="s">
        <v>777</v>
      </c>
      <c r="F12" s="203" t="s">
        <v>898</v>
      </c>
      <c r="G12" s="184" t="s">
        <v>743</v>
      </c>
      <c r="H12" s="182" t="s">
        <v>55</v>
      </c>
      <c r="I12" s="185"/>
      <c r="J12" s="2"/>
    </row>
    <row r="13" spans="1:96" ht="47.25">
      <c r="A13" s="2"/>
      <c r="B13" s="448"/>
      <c r="C13" s="183" t="s">
        <v>141</v>
      </c>
      <c r="D13" s="183" t="s">
        <v>770</v>
      </c>
      <c r="E13" s="183" t="s">
        <v>778</v>
      </c>
      <c r="F13" s="203" t="s">
        <v>779</v>
      </c>
      <c r="G13" s="204" t="s">
        <v>747</v>
      </c>
      <c r="H13" s="182" t="s">
        <v>55</v>
      </c>
      <c r="I13" s="185"/>
      <c r="J13" s="2"/>
    </row>
    <row r="14" spans="1:96" ht="32.25" thickBot="1">
      <c r="A14" s="2"/>
      <c r="B14" s="346" t="s">
        <v>750</v>
      </c>
      <c r="C14" s="347" t="s">
        <v>768</v>
      </c>
      <c r="D14" s="348" t="s">
        <v>770</v>
      </c>
      <c r="E14" s="347" t="s">
        <v>825</v>
      </c>
      <c r="F14" s="354" t="s">
        <v>826</v>
      </c>
      <c r="G14" s="355" t="s">
        <v>747</v>
      </c>
      <c r="H14" s="348" t="s">
        <v>55</v>
      </c>
      <c r="I14" s="356"/>
      <c r="J14" s="2"/>
    </row>
    <row r="15" spans="1:96" ht="15" customHeight="1">
      <c r="A15" s="2"/>
      <c r="B15" s="2"/>
      <c r="C15" s="2"/>
      <c r="D15" s="2"/>
      <c r="E15" s="2"/>
      <c r="F15" s="2"/>
      <c r="G15" s="2"/>
      <c r="H15" s="2"/>
      <c r="I15" s="2"/>
      <c r="J15" s="2"/>
    </row>
    <row r="16" spans="1:96" ht="15" customHeight="1">
      <c r="A16" s="2"/>
      <c r="B16" s="2"/>
      <c r="C16" s="2"/>
      <c r="D16" s="2"/>
      <c r="E16" s="2"/>
      <c r="F16" s="2"/>
      <c r="G16" s="2"/>
      <c r="H16" s="2"/>
      <c r="I16" s="2"/>
      <c r="J16" s="2"/>
    </row>
  </sheetData>
  <sheetProtection algorithmName="SHA-512" hashValue="HVKozy4jDmT2uaA4cl3NLYYeBxUqrxfqFoypWE32cX6+wYvyw2zARX5F/c2L/Hl8DvSKkopH473ZWEC0yyVS7Q==" saltValue="zhBgnEfHVlwzHh1JIQaQZA==" spinCount="100000" sheet="1" selectLockedCells="1"/>
  <mergeCells count="3">
    <mergeCell ref="B5:I5"/>
    <mergeCell ref="B7:B8"/>
    <mergeCell ref="B10:B13"/>
  </mergeCells>
  <conditionalFormatting sqref="H6:H8 H10:H14">
    <cfRule type="containsText" dxfId="2" priority="4" operator="containsText" text="Fédéral">
      <formula>NOT(ISERROR(SEARCH("Fédéral",H6)))</formula>
    </cfRule>
    <cfRule type="containsText" dxfId="1" priority="5" operator="containsText" text="Typologie cantonale">
      <formula>NOT(ISERROR(SEARCH("Typologie cantonale",H6)))</formula>
    </cfRule>
    <cfRule type="containsText" dxfId="0" priority="6" operator="containsText" text="Communal">
      <formula>NOT(ISERROR(SEARCH("Communal",H6)))</formula>
    </cfRule>
  </conditionalFormatting>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0C798F-531D-2D4A-84A9-AC430BC5C3A1}">
  <sheetPr codeName="Sheet13">
    <tabColor theme="3"/>
  </sheetPr>
  <dimension ref="A1:O135"/>
  <sheetViews>
    <sheetView zoomScale="136" zoomScaleNormal="120" workbookViewId="0">
      <selection activeCell="C32" sqref="C32"/>
    </sheetView>
  </sheetViews>
  <sheetFormatPr baseColWidth="10" defaultColWidth="0" defaultRowHeight="15.75" zeroHeight="1"/>
  <cols>
    <col min="1" max="1" width="41.125" style="60" customWidth="1"/>
    <col min="2" max="2" width="36.875" style="60" customWidth="1"/>
    <col min="3" max="3" width="44.125" style="60" customWidth="1"/>
    <col min="4" max="4" width="10.5" style="60" customWidth="1"/>
    <col min="5" max="5" width="15.5" style="60" customWidth="1"/>
    <col min="6" max="6" width="18.375" style="60" hidden="1" customWidth="1"/>
    <col min="7" max="7" width="17.125" style="60" hidden="1" customWidth="1"/>
    <col min="8" max="8" width="7.125" style="118" customWidth="1"/>
    <col min="9" max="15" width="0" style="60" hidden="1" customWidth="1"/>
    <col min="16" max="16384" width="10.875" style="60" hidden="1"/>
  </cols>
  <sheetData>
    <row r="1" spans="1:15">
      <c r="A1" s="449" t="s">
        <v>24</v>
      </c>
      <c r="B1" s="449" t="s">
        <v>153</v>
      </c>
      <c r="C1" s="449" t="s">
        <v>215</v>
      </c>
      <c r="D1" s="449" t="s">
        <v>216</v>
      </c>
      <c r="E1" s="449" t="s">
        <v>217</v>
      </c>
      <c r="F1" s="449" t="s">
        <v>218</v>
      </c>
      <c r="G1" s="449" t="s">
        <v>219</v>
      </c>
    </row>
    <row r="2" spans="1:15">
      <c r="A2" s="449"/>
      <c r="B2" s="449"/>
      <c r="C2" s="449"/>
      <c r="D2" s="449"/>
      <c r="E2" s="449" t="s">
        <v>154</v>
      </c>
      <c r="F2" s="449" t="s">
        <v>154</v>
      </c>
      <c r="G2" s="449" t="s">
        <v>154</v>
      </c>
    </row>
    <row r="3" spans="1:15">
      <c r="A3" s="62" t="s">
        <v>26</v>
      </c>
      <c r="B3" s="63" t="s">
        <v>881</v>
      </c>
      <c r="C3" s="63" t="s">
        <v>299</v>
      </c>
      <c r="D3" s="64" t="s">
        <v>71</v>
      </c>
      <c r="E3" s="389">
        <v>181</v>
      </c>
      <c r="F3" s="70">
        <v>0</v>
      </c>
      <c r="G3" s="74">
        <v>181</v>
      </c>
      <c r="H3" s="272"/>
    </row>
    <row r="4" spans="1:15" hidden="1">
      <c r="A4" s="62"/>
      <c r="B4" s="63" t="s">
        <v>220</v>
      </c>
      <c r="C4" s="63" t="s">
        <v>300</v>
      </c>
      <c r="D4" s="64" t="s">
        <v>301</v>
      </c>
      <c r="E4" s="389">
        <f>E3/1000</f>
        <v>0.18099999999999999</v>
      </c>
      <c r="F4" s="96">
        <f>F3/1000</f>
        <v>0</v>
      </c>
      <c r="G4" s="96">
        <f>G3/1000</f>
        <v>0.18099999999999999</v>
      </c>
      <c r="H4" s="272"/>
    </row>
    <row r="5" spans="1:15">
      <c r="A5" s="62"/>
      <c r="B5" s="63" t="s">
        <v>373</v>
      </c>
      <c r="C5" s="63" t="s">
        <v>782</v>
      </c>
      <c r="D5" s="64" t="s">
        <v>71</v>
      </c>
      <c r="E5" s="389">
        <v>45</v>
      </c>
      <c r="F5" s="74">
        <v>0</v>
      </c>
      <c r="G5" s="74">
        <v>45</v>
      </c>
      <c r="H5" s="272"/>
    </row>
    <row r="6" spans="1:15" hidden="1">
      <c r="A6" s="62"/>
      <c r="B6" s="63" t="s">
        <v>178</v>
      </c>
      <c r="C6" s="63" t="s">
        <v>783</v>
      </c>
      <c r="D6" s="64" t="s">
        <v>301</v>
      </c>
      <c r="E6" s="389">
        <v>4.4999999999999998E-2</v>
      </c>
      <c r="F6" s="96">
        <v>0</v>
      </c>
      <c r="G6" s="96">
        <v>4.4999999999999998E-2</v>
      </c>
      <c r="H6" s="272"/>
    </row>
    <row r="7" spans="1:15">
      <c r="A7" s="79" t="s">
        <v>155</v>
      </c>
      <c r="B7" s="80" t="s">
        <v>373</v>
      </c>
      <c r="C7" s="80" t="s">
        <v>334</v>
      </c>
      <c r="D7" s="81" t="s">
        <v>71</v>
      </c>
      <c r="E7" s="390">
        <v>41.010000000000005</v>
      </c>
      <c r="F7" s="82">
        <v>2.0504999999999995</v>
      </c>
      <c r="G7" s="82">
        <v>38.959500000000006</v>
      </c>
      <c r="H7" s="273"/>
      <c r="I7" s="67"/>
    </row>
    <row r="8" spans="1:15">
      <c r="A8" s="62"/>
      <c r="B8" s="63" t="s">
        <v>373</v>
      </c>
      <c r="C8" s="63" t="s">
        <v>273</v>
      </c>
      <c r="D8" s="64" t="s">
        <v>71</v>
      </c>
      <c r="E8" s="391">
        <f>E3/3</f>
        <v>60.333333333333336</v>
      </c>
      <c r="F8" s="65">
        <v>0</v>
      </c>
      <c r="G8" s="65">
        <f>E8</f>
        <v>60.333333333333336</v>
      </c>
    </row>
    <row r="9" spans="1:15">
      <c r="A9" s="62"/>
      <c r="B9" s="63" t="s">
        <v>373</v>
      </c>
      <c r="C9" s="63" t="s">
        <v>338</v>
      </c>
      <c r="D9" s="64" t="s">
        <v>71</v>
      </c>
      <c r="E9" s="391">
        <v>300</v>
      </c>
      <c r="F9" s="65">
        <v>300</v>
      </c>
      <c r="G9" s="65">
        <v>0</v>
      </c>
      <c r="K9" s="69"/>
      <c r="L9" s="69"/>
    </row>
    <row r="10" spans="1:15">
      <c r="A10" s="62"/>
      <c r="B10" s="63" t="s">
        <v>373</v>
      </c>
      <c r="C10" s="63" t="s">
        <v>274</v>
      </c>
      <c r="D10" s="64" t="s">
        <v>71</v>
      </c>
      <c r="E10" s="391">
        <v>165.29999999999998</v>
      </c>
      <c r="F10" s="65">
        <v>0</v>
      </c>
      <c r="G10" s="65">
        <f>E10</f>
        <v>165.29999999999998</v>
      </c>
      <c r="K10" s="69"/>
      <c r="L10" s="69"/>
    </row>
    <row r="11" spans="1:15">
      <c r="A11" s="62"/>
      <c r="B11" s="63" t="s">
        <v>373</v>
      </c>
      <c r="C11" s="63" t="s">
        <v>275</v>
      </c>
      <c r="D11" s="64" t="s">
        <v>71</v>
      </c>
      <c r="E11" s="391">
        <v>11.559999999999999</v>
      </c>
      <c r="F11" s="65">
        <v>0</v>
      </c>
      <c r="G11" s="65">
        <f>E11</f>
        <v>11.559999999999999</v>
      </c>
      <c r="K11" s="69"/>
      <c r="L11" s="69"/>
    </row>
    <row r="12" spans="1:15">
      <c r="A12" s="62"/>
      <c r="B12" s="63" t="s">
        <v>373</v>
      </c>
      <c r="C12" s="63" t="s">
        <v>276</v>
      </c>
      <c r="D12" s="64" t="s">
        <v>71</v>
      </c>
      <c r="E12" s="391">
        <v>290.76000000000005</v>
      </c>
      <c r="F12" s="74">
        <v>224.29282405594407</v>
      </c>
      <c r="G12" s="74">
        <v>66.466676223904415</v>
      </c>
      <c r="N12" s="67"/>
      <c r="O12" s="67"/>
    </row>
    <row r="13" spans="1:15">
      <c r="A13" s="62"/>
      <c r="B13" s="63" t="s">
        <v>373</v>
      </c>
      <c r="C13" s="63" t="s">
        <v>156</v>
      </c>
      <c r="D13" s="64" t="s">
        <v>71</v>
      </c>
      <c r="E13" s="391">
        <v>304.39999999999998</v>
      </c>
      <c r="F13" s="74">
        <v>262.64526875034755</v>
      </c>
      <c r="G13" s="74">
        <v>41.745730283333337</v>
      </c>
      <c r="H13" s="274"/>
      <c r="J13" s="71"/>
      <c r="K13" s="72"/>
      <c r="L13" s="72"/>
      <c r="N13" s="67"/>
      <c r="O13" s="67"/>
    </row>
    <row r="14" spans="1:15">
      <c r="A14" s="62"/>
      <c r="B14" s="63" t="s">
        <v>373</v>
      </c>
      <c r="C14" s="63" t="s">
        <v>277</v>
      </c>
      <c r="D14" s="64" t="s">
        <v>71</v>
      </c>
      <c r="E14" s="389">
        <v>307.48</v>
      </c>
      <c r="F14" s="74">
        <v>265.59061953488373</v>
      </c>
      <c r="G14" s="74">
        <v>41.890056906976746</v>
      </c>
      <c r="H14" s="274"/>
      <c r="J14" s="71"/>
      <c r="K14" s="72"/>
      <c r="L14" s="72"/>
      <c r="N14" s="67"/>
      <c r="O14" s="67"/>
    </row>
    <row r="15" spans="1:15">
      <c r="A15" s="62"/>
      <c r="B15" s="63" t="s">
        <v>373</v>
      </c>
      <c r="C15" s="63" t="s">
        <v>221</v>
      </c>
      <c r="D15" s="64" t="s">
        <v>222</v>
      </c>
      <c r="E15" s="391">
        <v>1.7069519684800001</v>
      </c>
      <c r="F15" s="108">
        <v>1.5362567716320004</v>
      </c>
      <c r="G15" s="108">
        <v>0.17069519684800005</v>
      </c>
      <c r="J15" s="71"/>
      <c r="K15" s="72"/>
      <c r="L15" s="72"/>
    </row>
    <row r="16" spans="1:15">
      <c r="A16" s="62"/>
      <c r="B16" s="63" t="s">
        <v>373</v>
      </c>
      <c r="C16" s="63" t="s">
        <v>109</v>
      </c>
      <c r="D16" s="64" t="s">
        <v>222</v>
      </c>
      <c r="E16" s="391">
        <v>2.9281999850696998</v>
      </c>
      <c r="F16" s="108">
        <v>2.3305544301599999</v>
      </c>
      <c r="G16" s="108">
        <v>0.59764555490969984</v>
      </c>
      <c r="J16" s="71"/>
      <c r="K16" s="72"/>
      <c r="L16" s="72"/>
    </row>
    <row r="17" spans="1:12">
      <c r="A17" s="62"/>
      <c r="B17" s="63" t="s">
        <v>373</v>
      </c>
      <c r="C17" s="63" t="s">
        <v>107</v>
      </c>
      <c r="D17" s="64" t="s">
        <v>222</v>
      </c>
      <c r="E17" s="391">
        <v>2.9417947705039986</v>
      </c>
      <c r="F17" s="108">
        <v>2.624735891999999</v>
      </c>
      <c r="G17" s="108">
        <v>0.31705887850399994</v>
      </c>
    </row>
    <row r="18" spans="1:12">
      <c r="A18" s="62"/>
      <c r="B18" s="63" t="s">
        <v>373</v>
      </c>
      <c r="C18" s="83" t="s">
        <v>781</v>
      </c>
      <c r="D18" s="64" t="s">
        <v>222</v>
      </c>
      <c r="E18" s="389">
        <v>3.0813834344425004</v>
      </c>
      <c r="F18" s="108">
        <v>2.6512399999999996</v>
      </c>
      <c r="G18" s="108">
        <v>0.36994869355999993</v>
      </c>
      <c r="J18" s="77"/>
      <c r="K18" s="77"/>
      <c r="L18" s="77"/>
    </row>
    <row r="19" spans="1:12" hidden="1">
      <c r="A19" s="62"/>
      <c r="B19" s="63" t="s">
        <v>373</v>
      </c>
      <c r="C19" s="83" t="s">
        <v>335</v>
      </c>
      <c r="D19" s="64" t="s">
        <v>278</v>
      </c>
      <c r="E19" s="391">
        <v>4.1010000000000005E-2</v>
      </c>
      <c r="F19" s="108">
        <v>2.0504999999999994E-3</v>
      </c>
      <c r="G19" s="108">
        <v>3.8959500000000008E-2</v>
      </c>
      <c r="J19" s="77"/>
      <c r="K19" s="77"/>
      <c r="L19" s="77"/>
    </row>
    <row r="20" spans="1:12" hidden="1">
      <c r="A20" s="62"/>
      <c r="B20" s="63" t="s">
        <v>373</v>
      </c>
      <c r="C20" s="83" t="s">
        <v>279</v>
      </c>
      <c r="D20" s="64" t="s">
        <v>278</v>
      </c>
      <c r="E20" s="391">
        <f>E8/1000</f>
        <v>6.0333333333333336E-2</v>
      </c>
      <c r="F20" s="107">
        <v>0</v>
      </c>
      <c r="G20" s="107">
        <f>E20</f>
        <v>6.0333333333333336E-2</v>
      </c>
    </row>
    <row r="21" spans="1:12" hidden="1">
      <c r="A21" s="62"/>
      <c r="B21" s="63" t="s">
        <v>373</v>
      </c>
      <c r="C21" s="83" t="s">
        <v>280</v>
      </c>
      <c r="D21" s="64" t="s">
        <v>278</v>
      </c>
      <c r="E21" s="391">
        <v>0.16529999999999997</v>
      </c>
      <c r="F21" s="107">
        <v>0</v>
      </c>
      <c r="G21" s="107">
        <v>0.1653</v>
      </c>
    </row>
    <row r="22" spans="1:12" hidden="1">
      <c r="A22" s="62"/>
      <c r="B22" s="63" t="s">
        <v>373</v>
      </c>
      <c r="C22" s="83" t="s">
        <v>281</v>
      </c>
      <c r="D22" s="64" t="s">
        <v>278</v>
      </c>
      <c r="E22" s="391">
        <v>1.1559999999999999E-2</v>
      </c>
      <c r="F22" s="107">
        <v>0</v>
      </c>
      <c r="G22" s="107">
        <v>1.1559999999999999E-2</v>
      </c>
    </row>
    <row r="23" spans="1:12" hidden="1">
      <c r="A23" s="62"/>
      <c r="B23" s="63" t="s">
        <v>373</v>
      </c>
      <c r="C23" s="83" t="s">
        <v>282</v>
      </c>
      <c r="D23" s="64" t="s">
        <v>278</v>
      </c>
      <c r="E23" s="391">
        <v>0.29076000000000007</v>
      </c>
      <c r="F23" s="108">
        <v>0.22429282405594406</v>
      </c>
      <c r="G23" s="108">
        <v>6.6466676223904411E-2</v>
      </c>
      <c r="H23" s="273"/>
      <c r="I23" s="67"/>
      <c r="J23" s="67"/>
    </row>
    <row r="24" spans="1:12" hidden="1">
      <c r="A24" s="62"/>
      <c r="B24" s="63" t="s">
        <v>373</v>
      </c>
      <c r="C24" s="83" t="s">
        <v>283</v>
      </c>
      <c r="D24" s="64" t="s">
        <v>278</v>
      </c>
      <c r="E24" s="389">
        <v>0.30748000000000003</v>
      </c>
      <c r="F24" s="108">
        <v>0.26559061953488372</v>
      </c>
      <c r="G24" s="108">
        <v>4.1890056906976746E-2</v>
      </c>
      <c r="H24" s="273"/>
      <c r="I24" s="67"/>
      <c r="J24" s="67"/>
    </row>
    <row r="25" spans="1:12" hidden="1">
      <c r="A25" s="62"/>
      <c r="B25" s="63" t="s">
        <v>373</v>
      </c>
      <c r="C25" s="83" t="s">
        <v>336</v>
      </c>
      <c r="D25" s="64" t="s">
        <v>284</v>
      </c>
      <c r="E25" s="391">
        <f t="shared" ref="E25:G29" si="0">E19/3.6</f>
        <v>1.1391666666666668E-2</v>
      </c>
      <c r="F25" s="108">
        <f t="shared" si="0"/>
        <v>5.6958333333333318E-4</v>
      </c>
      <c r="G25" s="108">
        <f t="shared" si="0"/>
        <v>1.0822083333333335E-2</v>
      </c>
      <c r="H25" s="273"/>
      <c r="I25" s="67"/>
      <c r="J25" s="67"/>
    </row>
    <row r="26" spans="1:12" hidden="1">
      <c r="A26" s="62"/>
      <c r="B26" s="63" t="s">
        <v>373</v>
      </c>
      <c r="C26" s="83" t="s">
        <v>285</v>
      </c>
      <c r="D26" s="64" t="s">
        <v>284</v>
      </c>
      <c r="E26" s="391">
        <f t="shared" si="0"/>
        <v>1.6759259259259258E-2</v>
      </c>
      <c r="F26" s="107">
        <f t="shared" si="0"/>
        <v>0</v>
      </c>
      <c r="G26" s="107">
        <f t="shared" si="0"/>
        <v>1.6759259259259258E-2</v>
      </c>
      <c r="H26" s="273"/>
      <c r="I26" s="67"/>
      <c r="J26" s="67"/>
    </row>
    <row r="27" spans="1:12" hidden="1">
      <c r="A27" s="62"/>
      <c r="B27" s="63" t="s">
        <v>373</v>
      </c>
      <c r="C27" s="83" t="s">
        <v>286</v>
      </c>
      <c r="D27" s="64" t="s">
        <v>284</v>
      </c>
      <c r="E27" s="391">
        <f t="shared" si="0"/>
        <v>4.5916666666666661E-2</v>
      </c>
      <c r="F27" s="107">
        <f t="shared" si="0"/>
        <v>0</v>
      </c>
      <c r="G27" s="107">
        <f t="shared" si="0"/>
        <v>4.5916666666666668E-2</v>
      </c>
      <c r="H27" s="273"/>
      <c r="I27" s="67"/>
      <c r="J27" s="67"/>
    </row>
    <row r="28" spans="1:12" hidden="1">
      <c r="A28" s="62"/>
      <c r="B28" s="63" t="s">
        <v>373</v>
      </c>
      <c r="C28" s="83" t="s">
        <v>287</v>
      </c>
      <c r="D28" s="64" t="s">
        <v>284</v>
      </c>
      <c r="E28" s="391">
        <f t="shared" si="0"/>
        <v>3.2111111111111108E-3</v>
      </c>
      <c r="F28" s="107">
        <f t="shared" si="0"/>
        <v>0</v>
      </c>
      <c r="G28" s="107">
        <f t="shared" si="0"/>
        <v>3.2111111111111108E-3</v>
      </c>
    </row>
    <row r="29" spans="1:12" hidden="1">
      <c r="A29" s="62"/>
      <c r="B29" s="63" t="s">
        <v>373</v>
      </c>
      <c r="C29" s="83" t="s">
        <v>288</v>
      </c>
      <c r="D29" s="64" t="s">
        <v>284</v>
      </c>
      <c r="E29" s="391">
        <f t="shared" si="0"/>
        <v>8.0766666666666681E-2</v>
      </c>
      <c r="F29" s="108">
        <f t="shared" si="0"/>
        <v>6.2303562237762233E-2</v>
      </c>
      <c r="G29" s="108">
        <f t="shared" si="0"/>
        <v>1.8462965617751226E-2</v>
      </c>
    </row>
    <row r="30" spans="1:12" hidden="1">
      <c r="A30" s="62"/>
      <c r="B30" s="63" t="s">
        <v>373</v>
      </c>
      <c r="C30" s="83" t="s">
        <v>289</v>
      </c>
      <c r="D30" s="64" t="s">
        <v>284</v>
      </c>
      <c r="E30" s="389">
        <f>E24/3.6</f>
        <v>8.5411111111111118E-2</v>
      </c>
      <c r="F30" s="108">
        <f>F24/3.6</f>
        <v>7.3775172093023256E-2</v>
      </c>
      <c r="G30" s="108">
        <f>G24/3.6</f>
        <v>1.1636126918604651E-2</v>
      </c>
    </row>
    <row r="31" spans="1:12">
      <c r="A31" s="62"/>
      <c r="B31" s="63" t="s">
        <v>373</v>
      </c>
      <c r="C31" s="83" t="s">
        <v>290</v>
      </c>
      <c r="D31" s="64" t="s">
        <v>224</v>
      </c>
      <c r="E31" s="389">
        <f>E32*$I$31</f>
        <v>2.1242822942659445</v>
      </c>
      <c r="F31" s="108">
        <f>F32*$I$31</f>
        <v>1.6386782698909796</v>
      </c>
      <c r="G31" s="108">
        <f>G32*$I$31</f>
        <v>0.48560402437496147</v>
      </c>
      <c r="I31" s="109">
        <f>0.000783*1000</f>
        <v>0.78299999999999992</v>
      </c>
      <c r="J31" s="110" t="s">
        <v>292</v>
      </c>
    </row>
    <row r="32" spans="1:12">
      <c r="A32" s="62"/>
      <c r="B32" s="63" t="s">
        <v>373</v>
      </c>
      <c r="C32" s="83" t="s">
        <v>291</v>
      </c>
      <c r="D32" s="64" t="s">
        <v>110</v>
      </c>
      <c r="E32" s="389">
        <v>2.7130042072361999</v>
      </c>
      <c r="F32" s="108">
        <v>2.0928202680599997</v>
      </c>
      <c r="G32" s="108">
        <v>0.62018393917619608</v>
      </c>
    </row>
    <row r="33" spans="1:7">
      <c r="A33" s="73" t="s">
        <v>223</v>
      </c>
      <c r="B33" s="80" t="s">
        <v>878</v>
      </c>
      <c r="C33" s="80" t="s">
        <v>82</v>
      </c>
      <c r="D33" s="81" t="s">
        <v>81</v>
      </c>
      <c r="E33" s="390">
        <v>-1602.0200196732778</v>
      </c>
      <c r="F33" s="82">
        <f>E33</f>
        <v>-1602.0200196732778</v>
      </c>
      <c r="G33" s="82">
        <v>0</v>
      </c>
    </row>
    <row r="34" spans="1:7">
      <c r="A34" s="62"/>
      <c r="B34" s="63" t="s">
        <v>878</v>
      </c>
      <c r="C34" s="75" t="s">
        <v>84</v>
      </c>
      <c r="D34" s="64" t="s">
        <v>81</v>
      </c>
      <c r="E34" s="389">
        <v>378.2093473624812</v>
      </c>
      <c r="F34" s="74">
        <f t="shared" ref="F34:F41" si="1">E34</f>
        <v>378.2093473624812</v>
      </c>
      <c r="G34" s="74">
        <v>0</v>
      </c>
    </row>
    <row r="35" spans="1:7">
      <c r="A35" s="62"/>
      <c r="B35" s="63" t="s">
        <v>878</v>
      </c>
      <c r="C35" s="76" t="s">
        <v>86</v>
      </c>
      <c r="D35" s="64" t="s">
        <v>81</v>
      </c>
      <c r="E35" s="389">
        <v>1473</v>
      </c>
      <c r="F35" s="74">
        <f t="shared" si="1"/>
        <v>1473</v>
      </c>
      <c r="G35" s="74">
        <v>0</v>
      </c>
    </row>
    <row r="36" spans="1:7" ht="15.95" customHeight="1">
      <c r="A36" s="62"/>
      <c r="B36" s="63" t="s">
        <v>878</v>
      </c>
      <c r="C36" s="75" t="s">
        <v>74</v>
      </c>
      <c r="D36" s="64" t="s">
        <v>213</v>
      </c>
      <c r="E36" s="389">
        <v>1048.3667634345222</v>
      </c>
      <c r="F36" s="74">
        <f t="shared" si="1"/>
        <v>1048.3667634345222</v>
      </c>
      <c r="G36" s="70">
        <v>0</v>
      </c>
    </row>
    <row r="37" spans="1:7" ht="15.95" customHeight="1">
      <c r="A37" s="62"/>
      <c r="B37" s="63" t="s">
        <v>878</v>
      </c>
      <c r="C37" s="75" t="s">
        <v>76</v>
      </c>
      <c r="D37" s="64" t="s">
        <v>213</v>
      </c>
      <c r="E37" s="391">
        <v>4199.6822774071616</v>
      </c>
      <c r="F37" s="74">
        <f t="shared" si="1"/>
        <v>4199.6822774071616</v>
      </c>
      <c r="G37" s="70">
        <v>0</v>
      </c>
    </row>
    <row r="38" spans="1:7" ht="15.95" customHeight="1">
      <c r="A38" s="62"/>
      <c r="B38" s="63" t="s">
        <v>878</v>
      </c>
      <c r="C38" s="75" t="s">
        <v>77</v>
      </c>
      <c r="D38" s="64" t="s">
        <v>213</v>
      </c>
      <c r="E38" s="391">
        <v>220.1929828135647</v>
      </c>
      <c r="F38" s="74">
        <f t="shared" si="1"/>
        <v>220.1929828135647</v>
      </c>
      <c r="G38" s="70">
        <v>0</v>
      </c>
    </row>
    <row r="39" spans="1:7" ht="15.95" customHeight="1">
      <c r="A39" s="62"/>
      <c r="B39" s="63" t="s">
        <v>878</v>
      </c>
      <c r="C39" s="75" t="s">
        <v>78</v>
      </c>
      <c r="D39" s="64" t="s">
        <v>213</v>
      </c>
      <c r="E39" s="391">
        <v>459.90679127595689</v>
      </c>
      <c r="F39" s="74">
        <f t="shared" si="1"/>
        <v>459.90679127595689</v>
      </c>
      <c r="G39" s="70">
        <v>0</v>
      </c>
    </row>
    <row r="40" spans="1:7" ht="15.95" customHeight="1">
      <c r="A40" s="62"/>
      <c r="B40" s="63" t="s">
        <v>878</v>
      </c>
      <c r="C40" s="75" t="s">
        <v>210</v>
      </c>
      <c r="D40" s="64" t="s">
        <v>213</v>
      </c>
      <c r="E40" s="391">
        <v>4199.6822774071616</v>
      </c>
      <c r="F40" s="65">
        <v>4199.6822774071616</v>
      </c>
      <c r="G40" s="70">
        <v>0</v>
      </c>
    </row>
    <row r="41" spans="1:7" ht="15.95" customHeight="1">
      <c r="A41" s="62"/>
      <c r="B41" s="63" t="s">
        <v>878</v>
      </c>
      <c r="C41" s="75" t="s">
        <v>79</v>
      </c>
      <c r="D41" s="64" t="s">
        <v>213</v>
      </c>
      <c r="E41" s="392">
        <v>511.96883092570357</v>
      </c>
      <c r="F41" s="74">
        <f t="shared" si="1"/>
        <v>511.96883092570357</v>
      </c>
      <c r="G41" s="70">
        <v>0</v>
      </c>
    </row>
    <row r="42" spans="1:7" ht="15.95" customHeight="1">
      <c r="A42" s="79" t="s">
        <v>157</v>
      </c>
      <c r="B42" s="101" t="s">
        <v>373</v>
      </c>
      <c r="C42" s="101" t="s">
        <v>28</v>
      </c>
      <c r="D42" s="102" t="s">
        <v>224</v>
      </c>
      <c r="E42" s="385">
        <f>0.0434</f>
        <v>4.3400000000000001E-2</v>
      </c>
      <c r="F42" s="103">
        <f>E42</f>
        <v>4.3400000000000001E-2</v>
      </c>
      <c r="G42" s="103">
        <v>0</v>
      </c>
    </row>
    <row r="43" spans="1:7" ht="15.95" customHeight="1">
      <c r="A43" s="62"/>
      <c r="B43" s="63" t="s">
        <v>878</v>
      </c>
      <c r="C43" s="75" t="s">
        <v>353</v>
      </c>
      <c r="D43" s="100" t="s">
        <v>342</v>
      </c>
      <c r="E43" s="386">
        <v>0.52240999999999993</v>
      </c>
      <c r="F43" s="143">
        <v>0.52240999999999993</v>
      </c>
      <c r="G43" s="143">
        <v>0</v>
      </c>
    </row>
    <row r="44" spans="1:7" ht="15.95" customHeight="1">
      <c r="A44" s="62"/>
      <c r="B44" s="277" t="s">
        <v>373</v>
      </c>
      <c r="C44" s="277" t="s">
        <v>347</v>
      </c>
      <c r="D44" s="100" t="s">
        <v>342</v>
      </c>
      <c r="E44" s="386">
        <v>-0.63722537999999995</v>
      </c>
      <c r="F44" s="143">
        <v>-0.63722537999999995</v>
      </c>
      <c r="G44" s="143">
        <v>0</v>
      </c>
    </row>
    <row r="45" spans="1:7" ht="15.95" customHeight="1">
      <c r="A45" s="62"/>
      <c r="B45" s="277" t="s">
        <v>373</v>
      </c>
      <c r="C45" s="277" t="s">
        <v>348</v>
      </c>
      <c r="D45" s="100" t="s">
        <v>342</v>
      </c>
      <c r="E45" s="386">
        <v>-2.3557918999999998</v>
      </c>
      <c r="F45" s="143">
        <v>-2.3557918999999998</v>
      </c>
      <c r="G45" s="143">
        <v>0</v>
      </c>
    </row>
    <row r="46" spans="1:7" ht="15.95" customHeight="1">
      <c r="A46" s="62"/>
      <c r="B46" s="277" t="s">
        <v>373</v>
      </c>
      <c r="C46" s="277" t="s">
        <v>349</v>
      </c>
      <c r="D46" s="100" t="s">
        <v>342</v>
      </c>
      <c r="E46" s="386">
        <v>-0.84137887</v>
      </c>
      <c r="F46" s="143">
        <v>-0.84137887</v>
      </c>
      <c r="G46" s="143">
        <v>0</v>
      </c>
    </row>
    <row r="47" spans="1:7" ht="15.95" customHeight="1">
      <c r="A47" s="62"/>
      <c r="B47" s="277" t="s">
        <v>373</v>
      </c>
      <c r="C47" s="277" t="s">
        <v>350</v>
      </c>
      <c r="D47" s="100" t="s">
        <v>342</v>
      </c>
      <c r="E47" s="386">
        <v>-2.4556067000000001</v>
      </c>
      <c r="F47" s="143">
        <v>-2.4556067000000001</v>
      </c>
      <c r="G47" s="143">
        <v>0</v>
      </c>
    </row>
    <row r="48" spans="1:7" ht="15.95" customHeight="1">
      <c r="A48" s="62"/>
      <c r="B48" s="277" t="s">
        <v>373</v>
      </c>
      <c r="C48" s="277" t="s">
        <v>706</v>
      </c>
      <c r="D48" s="100" t="s">
        <v>342</v>
      </c>
      <c r="E48" s="386">
        <v>9.2227423999999992E-3</v>
      </c>
      <c r="F48" s="143">
        <v>9.2227423999999992E-3</v>
      </c>
      <c r="G48" s="143">
        <v>0</v>
      </c>
    </row>
    <row r="49" spans="1:7" ht="15.95" customHeight="1">
      <c r="A49" s="62"/>
      <c r="B49" s="277" t="s">
        <v>373</v>
      </c>
      <c r="C49" s="277" t="s">
        <v>711</v>
      </c>
      <c r="D49" s="100" t="s">
        <v>342</v>
      </c>
      <c r="E49" s="386">
        <v>-4.7</v>
      </c>
      <c r="F49" s="143">
        <v>-4.7</v>
      </c>
      <c r="G49" s="143">
        <v>0</v>
      </c>
    </row>
    <row r="50" spans="1:7" ht="15.95" customHeight="1">
      <c r="A50" s="62"/>
      <c r="B50" s="277" t="s">
        <v>373</v>
      </c>
      <c r="C50" s="278" t="s">
        <v>704</v>
      </c>
      <c r="D50" s="100" t="s">
        <v>342</v>
      </c>
      <c r="E50" s="386">
        <v>4.8899999999999999E-2</v>
      </c>
      <c r="F50" s="143">
        <v>4.8899999999999999E-2</v>
      </c>
      <c r="G50" s="143">
        <v>0</v>
      </c>
    </row>
    <row r="51" spans="1:7" ht="15.95" customHeight="1">
      <c r="A51" s="62"/>
      <c r="B51" s="277" t="s">
        <v>373</v>
      </c>
      <c r="C51" s="278" t="s">
        <v>705</v>
      </c>
      <c r="D51" s="100" t="s">
        <v>342</v>
      </c>
      <c r="E51" s="386">
        <v>-0.1</v>
      </c>
      <c r="F51" s="143">
        <v>-0.1</v>
      </c>
      <c r="G51" s="143">
        <v>0</v>
      </c>
    </row>
    <row r="52" spans="1:7" ht="15.95" customHeight="1">
      <c r="A52" s="62"/>
      <c r="B52" s="277" t="s">
        <v>373</v>
      </c>
      <c r="C52" s="278" t="s">
        <v>707</v>
      </c>
      <c r="D52" s="100" t="s">
        <v>342</v>
      </c>
      <c r="E52" s="386">
        <v>-0.5</v>
      </c>
      <c r="F52" s="143">
        <v>-0.5</v>
      </c>
      <c r="G52" s="143">
        <v>0</v>
      </c>
    </row>
    <row r="53" spans="1:7" ht="15.95" customHeight="1">
      <c r="A53" s="62"/>
      <c r="B53" s="277" t="s">
        <v>373</v>
      </c>
      <c r="C53" s="278" t="s">
        <v>708</v>
      </c>
      <c r="D53" s="100" t="s">
        <v>342</v>
      </c>
      <c r="E53" s="386">
        <v>5.0000000000000001E-3</v>
      </c>
      <c r="F53" s="143">
        <v>5.0000000000000001E-3</v>
      </c>
      <c r="G53" s="143">
        <v>0</v>
      </c>
    </row>
    <row r="54" spans="1:7" ht="15.95" customHeight="1">
      <c r="A54" s="62"/>
      <c r="B54" s="277" t="s">
        <v>373</v>
      </c>
      <c r="C54" s="278" t="s">
        <v>709</v>
      </c>
      <c r="D54" s="100" t="s">
        <v>342</v>
      </c>
      <c r="E54" s="386">
        <v>0.4</v>
      </c>
      <c r="F54" s="143">
        <v>0.4</v>
      </c>
      <c r="G54" s="143">
        <v>0</v>
      </c>
    </row>
    <row r="55" spans="1:7" ht="15.95" customHeight="1">
      <c r="A55" s="62"/>
      <c r="B55" s="277" t="s">
        <v>373</v>
      </c>
      <c r="C55" s="278" t="s">
        <v>710</v>
      </c>
      <c r="D55" s="100" t="s">
        <v>342</v>
      </c>
      <c r="E55" s="386">
        <v>0.32</v>
      </c>
      <c r="F55" s="143">
        <v>0.32</v>
      </c>
      <c r="G55" s="143">
        <v>0</v>
      </c>
    </row>
    <row r="56" spans="1:7" ht="15.95" hidden="1" customHeight="1">
      <c r="A56" s="62"/>
      <c r="B56" s="99" t="s">
        <v>158</v>
      </c>
      <c r="C56" s="75" t="s">
        <v>354</v>
      </c>
      <c r="D56" s="100" t="s">
        <v>720</v>
      </c>
      <c r="E56" s="393">
        <f t="shared" ref="E56:G68" si="2">E43*1000</f>
        <v>522.41</v>
      </c>
      <c r="F56" s="143">
        <f t="shared" si="2"/>
        <v>522.41</v>
      </c>
      <c r="G56" s="143">
        <f t="shared" si="2"/>
        <v>0</v>
      </c>
    </row>
    <row r="57" spans="1:7" ht="15.95" hidden="1" customHeight="1">
      <c r="A57" s="62"/>
      <c r="B57" s="277" t="s">
        <v>373</v>
      </c>
      <c r="C57" s="277" t="s">
        <v>343</v>
      </c>
      <c r="D57" s="100" t="s">
        <v>720</v>
      </c>
      <c r="E57" s="393">
        <f t="shared" si="2"/>
        <v>-637.22537999999997</v>
      </c>
      <c r="F57" s="143">
        <f t="shared" si="2"/>
        <v>-637.22537999999997</v>
      </c>
      <c r="G57" s="143">
        <f t="shared" si="2"/>
        <v>0</v>
      </c>
    </row>
    <row r="58" spans="1:7" ht="15.95" hidden="1" customHeight="1">
      <c r="A58" s="62"/>
      <c r="B58" s="277" t="s">
        <v>373</v>
      </c>
      <c r="C58" s="277" t="s">
        <v>344</v>
      </c>
      <c r="D58" s="100" t="s">
        <v>720</v>
      </c>
      <c r="E58" s="393">
        <f t="shared" si="2"/>
        <v>-2355.7918999999997</v>
      </c>
      <c r="F58" s="143">
        <f t="shared" si="2"/>
        <v>-2355.7918999999997</v>
      </c>
      <c r="G58" s="143">
        <f t="shared" si="2"/>
        <v>0</v>
      </c>
    </row>
    <row r="59" spans="1:7" ht="15.95" hidden="1" customHeight="1">
      <c r="A59" s="62"/>
      <c r="B59" s="277" t="s">
        <v>373</v>
      </c>
      <c r="C59" s="277" t="s">
        <v>345</v>
      </c>
      <c r="D59" s="100" t="s">
        <v>720</v>
      </c>
      <c r="E59" s="393">
        <f t="shared" si="2"/>
        <v>-841.37887000000001</v>
      </c>
      <c r="F59" s="143">
        <f t="shared" si="2"/>
        <v>-841.37887000000001</v>
      </c>
      <c r="G59" s="143">
        <f t="shared" si="2"/>
        <v>0</v>
      </c>
    </row>
    <row r="60" spans="1:7" ht="15.95" hidden="1" customHeight="1">
      <c r="A60" s="62"/>
      <c r="B60" s="277" t="s">
        <v>373</v>
      </c>
      <c r="C60" s="277" t="s">
        <v>346</v>
      </c>
      <c r="D60" s="100" t="s">
        <v>720</v>
      </c>
      <c r="E60" s="393">
        <f t="shared" si="2"/>
        <v>-2455.6067000000003</v>
      </c>
      <c r="F60" s="143">
        <f t="shared" si="2"/>
        <v>-2455.6067000000003</v>
      </c>
      <c r="G60" s="143">
        <f t="shared" si="2"/>
        <v>0</v>
      </c>
    </row>
    <row r="61" spans="1:7" ht="15.95" hidden="1" customHeight="1">
      <c r="A61" s="62"/>
      <c r="B61" s="277" t="s">
        <v>373</v>
      </c>
      <c r="C61" s="277" t="s">
        <v>712</v>
      </c>
      <c r="D61" s="100" t="s">
        <v>720</v>
      </c>
      <c r="E61" s="393">
        <f t="shared" si="2"/>
        <v>9.2227423999999996</v>
      </c>
      <c r="F61" s="143">
        <f t="shared" si="2"/>
        <v>9.2227423999999996</v>
      </c>
      <c r="G61" s="143">
        <f t="shared" si="2"/>
        <v>0</v>
      </c>
    </row>
    <row r="62" spans="1:7" ht="15.95" hidden="1" customHeight="1">
      <c r="A62" s="62"/>
      <c r="B62" s="277" t="s">
        <v>373</v>
      </c>
      <c r="C62" s="277" t="s">
        <v>713</v>
      </c>
      <c r="D62" s="100" t="s">
        <v>720</v>
      </c>
      <c r="E62" s="393">
        <f t="shared" si="2"/>
        <v>-4700</v>
      </c>
      <c r="F62" s="143">
        <f t="shared" si="2"/>
        <v>-4700</v>
      </c>
      <c r="G62" s="143">
        <f t="shared" si="2"/>
        <v>0</v>
      </c>
    </row>
    <row r="63" spans="1:7" ht="15.95" hidden="1" customHeight="1">
      <c r="A63" s="62"/>
      <c r="B63" s="277" t="s">
        <v>373</v>
      </c>
      <c r="C63" s="278" t="s">
        <v>714</v>
      </c>
      <c r="D63" s="100" t="s">
        <v>720</v>
      </c>
      <c r="E63" s="393">
        <f t="shared" si="2"/>
        <v>48.9</v>
      </c>
      <c r="F63" s="143">
        <f t="shared" si="2"/>
        <v>48.9</v>
      </c>
      <c r="G63" s="143">
        <f t="shared" si="2"/>
        <v>0</v>
      </c>
    </row>
    <row r="64" spans="1:7" ht="15.95" hidden="1" customHeight="1">
      <c r="A64" s="62"/>
      <c r="B64" s="277" t="s">
        <v>373</v>
      </c>
      <c r="C64" s="278" t="s">
        <v>715</v>
      </c>
      <c r="D64" s="100" t="s">
        <v>720</v>
      </c>
      <c r="E64" s="393">
        <f t="shared" si="2"/>
        <v>-100</v>
      </c>
      <c r="F64" s="143">
        <f t="shared" si="2"/>
        <v>-100</v>
      </c>
      <c r="G64" s="143">
        <f t="shared" si="2"/>
        <v>0</v>
      </c>
    </row>
    <row r="65" spans="1:10" ht="15.95" hidden="1" customHeight="1">
      <c r="A65" s="62"/>
      <c r="B65" s="277" t="s">
        <v>373</v>
      </c>
      <c r="C65" s="278" t="s">
        <v>716</v>
      </c>
      <c r="D65" s="100" t="s">
        <v>720</v>
      </c>
      <c r="E65" s="393">
        <f t="shared" si="2"/>
        <v>-500</v>
      </c>
      <c r="F65" s="143">
        <f t="shared" si="2"/>
        <v>-500</v>
      </c>
      <c r="G65" s="143">
        <f t="shared" si="2"/>
        <v>0</v>
      </c>
    </row>
    <row r="66" spans="1:10" ht="15.95" hidden="1" customHeight="1">
      <c r="A66" s="62"/>
      <c r="B66" s="277" t="s">
        <v>373</v>
      </c>
      <c r="C66" s="278" t="s">
        <v>717</v>
      </c>
      <c r="D66" s="100" t="s">
        <v>720</v>
      </c>
      <c r="E66" s="393">
        <f t="shared" si="2"/>
        <v>5</v>
      </c>
      <c r="F66" s="143">
        <f t="shared" si="2"/>
        <v>5</v>
      </c>
      <c r="G66" s="143">
        <f t="shared" si="2"/>
        <v>0</v>
      </c>
    </row>
    <row r="67" spans="1:10" ht="15.95" hidden="1" customHeight="1">
      <c r="A67" s="62"/>
      <c r="B67" s="277" t="s">
        <v>373</v>
      </c>
      <c r="C67" s="278" t="s">
        <v>718</v>
      </c>
      <c r="D67" s="100" t="s">
        <v>720</v>
      </c>
      <c r="E67" s="393">
        <f t="shared" si="2"/>
        <v>400</v>
      </c>
      <c r="F67" s="143">
        <f t="shared" si="2"/>
        <v>400</v>
      </c>
      <c r="G67" s="143">
        <f t="shared" si="2"/>
        <v>0</v>
      </c>
    </row>
    <row r="68" spans="1:10" ht="15.95" hidden="1" customHeight="1">
      <c r="A68" s="62"/>
      <c r="B68" s="277" t="s">
        <v>373</v>
      </c>
      <c r="C68" s="278" t="s">
        <v>719</v>
      </c>
      <c r="D68" s="100" t="s">
        <v>720</v>
      </c>
      <c r="E68" s="393">
        <f t="shared" si="2"/>
        <v>320</v>
      </c>
      <c r="F68" s="143">
        <f t="shared" si="2"/>
        <v>320</v>
      </c>
      <c r="G68" s="143">
        <f t="shared" si="2"/>
        <v>0</v>
      </c>
    </row>
    <row r="69" spans="1:10" ht="15.95" customHeight="1">
      <c r="A69" s="79" t="s">
        <v>160</v>
      </c>
      <c r="B69" s="80" t="s">
        <v>373</v>
      </c>
      <c r="C69" s="86" t="s">
        <v>302</v>
      </c>
      <c r="D69" s="81" t="s">
        <v>202</v>
      </c>
      <c r="E69" s="383">
        <v>0.27500000000000002</v>
      </c>
      <c r="F69" s="66">
        <v>0.158</v>
      </c>
      <c r="G69" s="66">
        <f>E69-F69</f>
        <v>0.11700000000000002</v>
      </c>
      <c r="H69" s="275"/>
      <c r="I69" s="78"/>
    </row>
    <row r="70" spans="1:10" ht="15.95" customHeight="1">
      <c r="A70" s="62"/>
      <c r="B70" s="63" t="s">
        <v>373</v>
      </c>
      <c r="C70" s="83" t="s">
        <v>303</v>
      </c>
      <c r="D70" s="64" t="s">
        <v>202</v>
      </c>
      <c r="E70" s="384">
        <v>0.13</v>
      </c>
      <c r="F70" s="68">
        <v>0</v>
      </c>
      <c r="G70" s="68">
        <f>E70-F70</f>
        <v>0.13</v>
      </c>
      <c r="H70" s="272"/>
    </row>
    <row r="71" spans="1:10" ht="15.95" customHeight="1">
      <c r="A71" s="62"/>
      <c r="B71" s="63" t="s">
        <v>373</v>
      </c>
      <c r="C71" s="83" t="s">
        <v>304</v>
      </c>
      <c r="D71" s="64" t="s">
        <v>202</v>
      </c>
      <c r="E71" s="384">
        <v>0.32</v>
      </c>
      <c r="F71" s="68">
        <v>0.19700000000000001</v>
      </c>
      <c r="G71" s="68">
        <f>E71-F71</f>
        <v>0.123</v>
      </c>
    </row>
    <row r="72" spans="1:10" ht="15.95" customHeight="1">
      <c r="A72" s="62"/>
      <c r="B72" s="63" t="s">
        <v>373</v>
      </c>
      <c r="C72" s="83" t="s">
        <v>305</v>
      </c>
      <c r="D72" s="64" t="s">
        <v>202</v>
      </c>
      <c r="E72" s="384">
        <v>0.255</v>
      </c>
      <c r="F72" s="68">
        <v>0.156</v>
      </c>
      <c r="G72" s="68">
        <f>E72-F72</f>
        <v>9.9000000000000005E-2</v>
      </c>
    </row>
    <row r="73" spans="1:10" ht="15.95" customHeight="1">
      <c r="A73" s="62"/>
      <c r="B73" s="63" t="s">
        <v>373</v>
      </c>
      <c r="C73" s="83" t="s">
        <v>306</v>
      </c>
      <c r="D73" s="64" t="s">
        <v>202</v>
      </c>
      <c r="E73" s="384">
        <v>0.248</v>
      </c>
      <c r="F73" s="68">
        <v>0.13200000000000001</v>
      </c>
      <c r="G73" s="68">
        <f>E73-F73</f>
        <v>0.11599999999999999</v>
      </c>
      <c r="J73" s="94"/>
    </row>
    <row r="74" spans="1:10" ht="15.95" customHeight="1">
      <c r="A74" s="62"/>
      <c r="B74" s="63" t="s">
        <v>373</v>
      </c>
      <c r="C74" s="83" t="s">
        <v>61</v>
      </c>
      <c r="D74" s="64" t="s">
        <v>161</v>
      </c>
      <c r="E74" s="384">
        <v>8.9999999999999993E-3</v>
      </c>
      <c r="F74" s="68">
        <v>0</v>
      </c>
      <c r="G74" s="68">
        <f>E74</f>
        <v>8.9999999999999993E-3</v>
      </c>
      <c r="J74" s="94"/>
    </row>
    <row r="75" spans="1:10" ht="15.95" customHeight="1">
      <c r="A75" s="62"/>
      <c r="B75" s="63" t="s">
        <v>373</v>
      </c>
      <c r="C75" s="83" t="s">
        <v>307</v>
      </c>
      <c r="D75" s="64" t="s">
        <v>161</v>
      </c>
      <c r="E75" s="384">
        <v>7.7499999999999999E-3</v>
      </c>
      <c r="F75" s="68">
        <v>0</v>
      </c>
      <c r="G75" s="68">
        <f>E75</f>
        <v>7.7499999999999999E-3</v>
      </c>
      <c r="J75" s="94"/>
    </row>
    <row r="76" spans="1:10" ht="15.95" customHeight="1">
      <c r="A76" s="62"/>
      <c r="B76" s="63" t="s">
        <v>373</v>
      </c>
      <c r="C76" s="83" t="s">
        <v>225</v>
      </c>
      <c r="D76" s="64" t="s">
        <v>161</v>
      </c>
      <c r="E76" s="384">
        <v>1.418E-2</v>
      </c>
      <c r="F76" s="68">
        <v>0</v>
      </c>
      <c r="G76" s="68">
        <f>E76</f>
        <v>1.418E-2</v>
      </c>
      <c r="J76" s="94"/>
    </row>
    <row r="77" spans="1:10" ht="15.95" customHeight="1">
      <c r="A77" s="62"/>
      <c r="B77" s="63" t="s">
        <v>373</v>
      </c>
      <c r="C77" s="83" t="s">
        <v>308</v>
      </c>
      <c r="D77" s="64" t="s">
        <v>161</v>
      </c>
      <c r="E77" s="384">
        <v>0</v>
      </c>
      <c r="F77" s="68">
        <v>0</v>
      </c>
      <c r="G77" s="68">
        <v>0</v>
      </c>
      <c r="J77" s="94"/>
    </row>
    <row r="78" spans="1:10" ht="15.95" customHeight="1">
      <c r="A78" s="62"/>
      <c r="B78" s="63" t="s">
        <v>880</v>
      </c>
      <c r="C78" s="83" t="s">
        <v>323</v>
      </c>
      <c r="D78" s="64" t="s">
        <v>161</v>
      </c>
      <c r="E78" s="384">
        <f>F78+G78</f>
        <v>0.21703999999999998</v>
      </c>
      <c r="F78" s="68">
        <v>0</v>
      </c>
      <c r="G78" s="68">
        <f>0.02142+0.19562</f>
        <v>0.21703999999999998</v>
      </c>
      <c r="J78" s="94"/>
    </row>
    <row r="79" spans="1:10" ht="15.95" hidden="1" customHeight="1">
      <c r="A79" s="62"/>
      <c r="B79" s="63" t="s">
        <v>162</v>
      </c>
      <c r="C79" s="83" t="s">
        <v>309</v>
      </c>
      <c r="D79" s="64" t="s">
        <v>161</v>
      </c>
      <c r="E79" s="384">
        <f>F79+G79</f>
        <v>0.16622000000000001</v>
      </c>
      <c r="F79" s="68">
        <v>0.14981</v>
      </c>
      <c r="G79" s="68">
        <v>1.6410000000000001E-2</v>
      </c>
    </row>
    <row r="80" spans="1:10" ht="15.95" hidden="1" customHeight="1">
      <c r="A80" s="62"/>
      <c r="B80" s="63" t="s">
        <v>162</v>
      </c>
      <c r="C80" s="83" t="s">
        <v>310</v>
      </c>
      <c r="D80" s="64" t="s">
        <v>161</v>
      </c>
      <c r="E80" s="384">
        <f>F80+G80</f>
        <v>0.48204000000000002</v>
      </c>
      <c r="F80" s="68">
        <v>0.43446000000000001</v>
      </c>
      <c r="G80" s="68">
        <v>4.7579999999999997E-2</v>
      </c>
    </row>
    <row r="81" spans="1:7" ht="15.95" hidden="1" customHeight="1">
      <c r="A81" s="62"/>
      <c r="B81" s="63" t="s">
        <v>373</v>
      </c>
      <c r="C81" s="83" t="s">
        <v>311</v>
      </c>
      <c r="D81" s="64" t="s">
        <v>312</v>
      </c>
      <c r="E81" s="384">
        <v>0.54100000000000004</v>
      </c>
      <c r="F81" s="68">
        <v>0.35499999999999998</v>
      </c>
      <c r="G81" s="68">
        <f>E81-F81</f>
        <v>0.18600000000000005</v>
      </c>
    </row>
    <row r="82" spans="1:7" ht="15.95" hidden="1" customHeight="1">
      <c r="A82" s="62"/>
      <c r="B82" s="63" t="s">
        <v>373</v>
      </c>
      <c r="C82" s="83" t="s">
        <v>313</v>
      </c>
      <c r="D82" s="64" t="s">
        <v>161</v>
      </c>
      <c r="E82" s="384">
        <v>5.6800000000000003E-2</v>
      </c>
      <c r="F82" s="68">
        <v>3.4500000000000003E-2</v>
      </c>
      <c r="G82" s="68">
        <f>E82-F82</f>
        <v>2.23E-2</v>
      </c>
    </row>
    <row r="83" spans="1:7" ht="15.95" customHeight="1">
      <c r="A83" s="62"/>
      <c r="B83" s="63" t="s">
        <v>373</v>
      </c>
      <c r="C83" s="83" t="s">
        <v>62</v>
      </c>
      <c r="D83" s="64" t="s">
        <v>161</v>
      </c>
      <c r="E83" s="384">
        <v>0.05</v>
      </c>
      <c r="F83" s="68">
        <f>$E83*0.8</f>
        <v>4.0000000000000008E-2</v>
      </c>
      <c r="G83" s="68">
        <f>$E83*0.2</f>
        <v>1.0000000000000002E-2</v>
      </c>
    </row>
    <row r="84" spans="1:7" ht="15.95" hidden="1" customHeight="1">
      <c r="A84" s="62"/>
      <c r="B84" s="63" t="s">
        <v>373</v>
      </c>
      <c r="C84" s="83" t="s">
        <v>57</v>
      </c>
      <c r="D84" s="84" t="s">
        <v>202</v>
      </c>
      <c r="E84" s="384">
        <v>0.30362471258352158</v>
      </c>
      <c r="F84" s="68">
        <v>0.18260086869413869</v>
      </c>
      <c r="G84" s="68">
        <v>0.12102384388938293</v>
      </c>
    </row>
    <row r="85" spans="1:7" ht="15.95" hidden="1" customHeight="1">
      <c r="A85" s="62"/>
      <c r="B85" s="63" t="s">
        <v>373</v>
      </c>
      <c r="C85" s="83" t="s">
        <v>785</v>
      </c>
      <c r="D85" s="84" t="s">
        <v>202</v>
      </c>
      <c r="E85" s="384">
        <v>1.4999999999999999E-2</v>
      </c>
      <c r="F85" s="68">
        <v>0</v>
      </c>
      <c r="G85" s="68">
        <v>1.4999999999999999E-2</v>
      </c>
    </row>
    <row r="86" spans="1:7" ht="15.95" hidden="1" customHeight="1">
      <c r="A86" s="62"/>
      <c r="B86" s="63" t="s">
        <v>373</v>
      </c>
      <c r="C86" s="83" t="s">
        <v>63</v>
      </c>
      <c r="D86" s="84" t="s">
        <v>202</v>
      </c>
      <c r="E86" s="384">
        <v>7.0000000000000001E-3</v>
      </c>
      <c r="F86" s="68">
        <v>0</v>
      </c>
      <c r="G86" s="68">
        <v>7.0000000000000001E-3</v>
      </c>
    </row>
    <row r="87" spans="1:7" ht="15.95" customHeight="1">
      <c r="A87" s="62"/>
      <c r="B87" s="63" t="s">
        <v>373</v>
      </c>
      <c r="C87" s="83" t="s">
        <v>60</v>
      </c>
      <c r="D87" s="64" t="s">
        <v>202</v>
      </c>
      <c r="E87" s="382">
        <v>0.11</v>
      </c>
      <c r="F87" s="70">
        <f>$E87*0.8</f>
        <v>8.8000000000000009E-2</v>
      </c>
      <c r="G87" s="70">
        <f>$E87*0.2</f>
        <v>2.2000000000000002E-2</v>
      </c>
    </row>
    <row r="88" spans="1:7" ht="15.95" customHeight="1">
      <c r="A88" s="62"/>
      <c r="B88" s="63" t="s">
        <v>373</v>
      </c>
      <c r="C88" s="75" t="s">
        <v>314</v>
      </c>
      <c r="D88" s="100" t="s">
        <v>312</v>
      </c>
      <c r="E88" s="386">
        <v>0.18</v>
      </c>
      <c r="F88" s="143">
        <v>0.12</v>
      </c>
      <c r="G88" s="143">
        <f>E88-F88</f>
        <v>0.06</v>
      </c>
    </row>
    <row r="89" spans="1:7" hidden="1">
      <c r="A89" s="62"/>
      <c r="B89" s="63" t="s">
        <v>373</v>
      </c>
      <c r="C89" s="83" t="s">
        <v>315</v>
      </c>
      <c r="D89" s="64" t="s">
        <v>163</v>
      </c>
      <c r="E89" s="389">
        <v>174.65983</v>
      </c>
      <c r="F89" s="70">
        <v>0</v>
      </c>
      <c r="G89" s="74">
        <f>E89</f>
        <v>174.65983</v>
      </c>
    </row>
    <row r="90" spans="1:7" hidden="1">
      <c r="A90" s="62"/>
      <c r="B90" s="63" t="s">
        <v>373</v>
      </c>
      <c r="C90" s="83" t="s">
        <v>316</v>
      </c>
      <c r="D90" s="64" t="s">
        <v>163</v>
      </c>
      <c r="E90" s="389">
        <v>10814.012000000001</v>
      </c>
      <c r="F90" s="70">
        <v>0</v>
      </c>
      <c r="G90" s="74">
        <v>10814.012000000001</v>
      </c>
    </row>
    <row r="91" spans="1:7" hidden="1">
      <c r="A91" s="62"/>
      <c r="B91" s="63" t="s">
        <v>373</v>
      </c>
      <c r="C91" s="83" t="s">
        <v>317</v>
      </c>
      <c r="D91" s="64" t="s">
        <v>163</v>
      </c>
      <c r="E91" s="389">
        <v>18023.352999999999</v>
      </c>
      <c r="F91" s="70">
        <v>0</v>
      </c>
      <c r="G91" s="74">
        <v>18023.352999999999</v>
      </c>
    </row>
    <row r="92" spans="1:7" hidden="1">
      <c r="A92" s="62"/>
      <c r="B92" s="63" t="s">
        <v>373</v>
      </c>
      <c r="C92" s="83" t="s">
        <v>897</v>
      </c>
      <c r="D92" s="64" t="s">
        <v>163</v>
      </c>
      <c r="E92" s="389">
        <v>3927</v>
      </c>
      <c r="F92" s="70"/>
      <c r="G92" s="74">
        <v>3927</v>
      </c>
    </row>
    <row r="93" spans="1:7" hidden="1">
      <c r="A93" s="62"/>
      <c r="B93" s="63" t="s">
        <v>373</v>
      </c>
      <c r="C93" s="83" t="s">
        <v>318</v>
      </c>
      <c r="D93" s="64" t="s">
        <v>163</v>
      </c>
      <c r="E93" s="389">
        <v>36819.197999999997</v>
      </c>
      <c r="F93" s="70">
        <v>0</v>
      </c>
      <c r="G93" s="74">
        <v>36819.197999999997</v>
      </c>
    </row>
    <row r="94" spans="1:7">
      <c r="A94" s="85" t="s">
        <v>117</v>
      </c>
      <c r="B94" s="80" t="s">
        <v>879</v>
      </c>
      <c r="C94" s="86" t="s">
        <v>124</v>
      </c>
      <c r="D94" s="81" t="s">
        <v>163</v>
      </c>
      <c r="E94" s="388">
        <v>1.34</v>
      </c>
      <c r="F94" s="82">
        <v>0</v>
      </c>
      <c r="G94" s="82">
        <f>E94</f>
        <v>1.34</v>
      </c>
    </row>
    <row r="95" spans="1:7">
      <c r="A95" s="87"/>
      <c r="B95" s="63" t="s">
        <v>879</v>
      </c>
      <c r="C95" s="83" t="s">
        <v>118</v>
      </c>
      <c r="D95" s="64" t="s">
        <v>163</v>
      </c>
      <c r="E95" s="387">
        <v>3.69</v>
      </c>
      <c r="F95" s="74">
        <v>0</v>
      </c>
      <c r="G95" s="74">
        <f t="shared" ref="G95:G102" si="3">E95</f>
        <v>3.69</v>
      </c>
    </row>
    <row r="96" spans="1:7">
      <c r="A96" s="87"/>
      <c r="B96" s="63" t="s">
        <v>879</v>
      </c>
      <c r="C96" s="83" t="s">
        <v>164</v>
      </c>
      <c r="D96" s="64" t="s">
        <v>163</v>
      </c>
      <c r="E96" s="387">
        <v>0.53</v>
      </c>
      <c r="F96" s="74">
        <v>0</v>
      </c>
      <c r="G96" s="74">
        <f t="shared" si="3"/>
        <v>0.53</v>
      </c>
    </row>
    <row r="97" spans="1:7">
      <c r="A97" s="87"/>
      <c r="B97" s="63" t="s">
        <v>879</v>
      </c>
      <c r="C97" s="83" t="s">
        <v>165</v>
      </c>
      <c r="D97" s="64" t="s">
        <v>163</v>
      </c>
      <c r="E97" s="387">
        <v>1.17</v>
      </c>
      <c r="F97" s="74">
        <v>0</v>
      </c>
      <c r="G97" s="74">
        <f t="shared" si="3"/>
        <v>1.17</v>
      </c>
    </row>
    <row r="98" spans="1:7">
      <c r="A98" s="88"/>
      <c r="B98" s="89" t="s">
        <v>226</v>
      </c>
      <c r="C98" s="90" t="s">
        <v>32</v>
      </c>
      <c r="D98" s="91" t="s">
        <v>163</v>
      </c>
      <c r="E98" s="394">
        <v>2100</v>
      </c>
      <c r="F98" s="92">
        <v>0</v>
      </c>
      <c r="G98" s="92">
        <f t="shared" si="3"/>
        <v>2100</v>
      </c>
    </row>
    <row r="99" spans="1:7" hidden="1">
      <c r="A99" s="62" t="s">
        <v>166</v>
      </c>
      <c r="B99" s="63" t="s">
        <v>373</v>
      </c>
      <c r="C99" s="83" t="s">
        <v>91</v>
      </c>
      <c r="D99" s="64" t="s">
        <v>167</v>
      </c>
      <c r="E99" s="68">
        <v>0.27265424831000001</v>
      </c>
      <c r="F99" s="68">
        <v>0</v>
      </c>
      <c r="G99" s="68">
        <f t="shared" si="3"/>
        <v>0.27265424831000001</v>
      </c>
    </row>
    <row r="100" spans="1:7" hidden="1">
      <c r="A100" s="79" t="s">
        <v>34</v>
      </c>
      <c r="B100" s="80" t="s">
        <v>373</v>
      </c>
      <c r="C100" s="86" t="s">
        <v>227</v>
      </c>
      <c r="D100" s="81" t="s">
        <v>228</v>
      </c>
      <c r="E100" s="82">
        <v>285</v>
      </c>
      <c r="F100" s="66">
        <v>0</v>
      </c>
      <c r="G100" s="66">
        <f t="shared" si="3"/>
        <v>285</v>
      </c>
    </row>
    <row r="101" spans="1:7" hidden="1">
      <c r="A101" s="62"/>
      <c r="B101" s="63" t="s">
        <v>373</v>
      </c>
      <c r="C101" s="83" t="s">
        <v>229</v>
      </c>
      <c r="D101" s="64" t="s">
        <v>228</v>
      </c>
      <c r="E101" s="65">
        <v>205</v>
      </c>
      <c r="F101" s="68">
        <v>0</v>
      </c>
      <c r="G101" s="68">
        <f t="shared" si="3"/>
        <v>205</v>
      </c>
    </row>
    <row r="102" spans="1:7" hidden="1">
      <c r="A102" s="61" t="s">
        <v>34</v>
      </c>
      <c r="B102" s="89" t="s">
        <v>230</v>
      </c>
      <c r="C102" s="90" t="s">
        <v>34</v>
      </c>
      <c r="D102" s="91" t="s">
        <v>367</v>
      </c>
      <c r="E102" s="93">
        <f>245000</f>
        <v>245000</v>
      </c>
      <c r="F102" s="93">
        <v>0</v>
      </c>
      <c r="G102" s="93">
        <f t="shared" si="3"/>
        <v>245000</v>
      </c>
    </row>
    <row r="103" spans="1:7" hidden="1">
      <c r="A103" s="79" t="s">
        <v>231</v>
      </c>
      <c r="B103" s="63" t="s">
        <v>373</v>
      </c>
      <c r="C103" s="83" t="s">
        <v>127</v>
      </c>
      <c r="D103" s="81" t="s">
        <v>163</v>
      </c>
      <c r="E103" s="82">
        <v>249.08377999999999</v>
      </c>
      <c r="F103" s="66">
        <v>0</v>
      </c>
      <c r="G103" s="82">
        <v>249.08377999999999</v>
      </c>
    </row>
    <row r="104" spans="1:7" hidden="1">
      <c r="A104" s="62"/>
      <c r="B104" s="63" t="s">
        <v>373</v>
      </c>
      <c r="C104" s="83" t="s">
        <v>129</v>
      </c>
      <c r="D104" s="64" t="s">
        <v>163</v>
      </c>
      <c r="E104" s="74">
        <v>394</v>
      </c>
      <c r="F104" s="70">
        <v>0</v>
      </c>
      <c r="G104" s="74">
        <v>394</v>
      </c>
    </row>
    <row r="105" spans="1:7" hidden="1">
      <c r="A105" s="62"/>
      <c r="B105" s="63" t="s">
        <v>373</v>
      </c>
      <c r="C105" s="83" t="s">
        <v>131</v>
      </c>
      <c r="D105" s="64" t="s">
        <v>163</v>
      </c>
      <c r="E105" s="74">
        <v>177.86178000000001</v>
      </c>
      <c r="F105" s="70">
        <v>0</v>
      </c>
      <c r="G105" s="74">
        <v>177.86178000000001</v>
      </c>
    </row>
    <row r="106" spans="1:7" hidden="1">
      <c r="A106" s="62"/>
      <c r="B106" s="63" t="s">
        <v>373</v>
      </c>
      <c r="C106" s="83" t="s">
        <v>232</v>
      </c>
      <c r="D106" s="64" t="s">
        <v>163</v>
      </c>
      <c r="E106" s="74">
        <v>44.7</v>
      </c>
      <c r="F106" s="70">
        <v>0</v>
      </c>
      <c r="G106" s="74">
        <f>E106</f>
        <v>44.7</v>
      </c>
    </row>
    <row r="107" spans="1:7" hidden="1">
      <c r="A107" s="62"/>
      <c r="B107" s="63" t="s">
        <v>373</v>
      </c>
      <c r="C107" s="83" t="s">
        <v>135</v>
      </c>
      <c r="D107" s="64" t="s">
        <v>163</v>
      </c>
      <c r="E107" s="74">
        <v>66.185235000000006</v>
      </c>
      <c r="F107" s="70">
        <v>0</v>
      </c>
      <c r="G107" s="74">
        <v>66.185235000000006</v>
      </c>
    </row>
    <row r="108" spans="1:7" hidden="1">
      <c r="A108" s="61"/>
      <c r="B108" s="89" t="s">
        <v>373</v>
      </c>
      <c r="C108" s="90" t="s">
        <v>133</v>
      </c>
      <c r="D108" s="91" t="s">
        <v>163</v>
      </c>
      <c r="E108" s="92">
        <v>180</v>
      </c>
      <c r="F108" s="93">
        <v>0</v>
      </c>
      <c r="G108" s="92">
        <v>180</v>
      </c>
    </row>
    <row r="109" spans="1:7" hidden="1">
      <c r="A109" s="62" t="s">
        <v>31</v>
      </c>
      <c r="B109" s="63" t="s">
        <v>233</v>
      </c>
      <c r="C109" s="83" t="s">
        <v>40</v>
      </c>
      <c r="D109" s="64" t="s">
        <v>234</v>
      </c>
      <c r="E109" s="74">
        <v>518.46053034884198</v>
      </c>
      <c r="F109" s="70">
        <v>0</v>
      </c>
      <c r="G109" s="70">
        <f t="shared" ref="G109:G117" si="4">E109</f>
        <v>518.46053034884198</v>
      </c>
    </row>
    <row r="110" spans="1:7" hidden="1">
      <c r="A110" s="62"/>
      <c r="B110" s="63" t="s">
        <v>233</v>
      </c>
      <c r="C110" s="83" t="s">
        <v>41</v>
      </c>
      <c r="D110" s="64" t="s">
        <v>234</v>
      </c>
      <c r="E110" s="74">
        <v>622.62077233766138</v>
      </c>
      <c r="F110" s="70">
        <v>0</v>
      </c>
      <c r="G110" s="70">
        <f t="shared" si="4"/>
        <v>622.62077233766138</v>
      </c>
    </row>
    <row r="111" spans="1:7" hidden="1">
      <c r="A111" s="62"/>
      <c r="B111" s="63" t="s">
        <v>233</v>
      </c>
      <c r="C111" s="83" t="s">
        <v>42</v>
      </c>
      <c r="D111" s="64" t="s">
        <v>234</v>
      </c>
      <c r="E111" s="74">
        <v>677.62674282613887</v>
      </c>
      <c r="F111" s="70">
        <v>0</v>
      </c>
      <c r="G111" s="70">
        <f t="shared" si="4"/>
        <v>677.62674282613887</v>
      </c>
    </row>
    <row r="112" spans="1:7" hidden="1">
      <c r="A112" s="62"/>
      <c r="B112" s="63" t="s">
        <v>233</v>
      </c>
      <c r="C112" s="83" t="s">
        <v>43</v>
      </c>
      <c r="D112" s="64" t="s">
        <v>234</v>
      </c>
      <c r="E112" s="74">
        <v>815.72683894614647</v>
      </c>
      <c r="F112" s="70">
        <v>0</v>
      </c>
      <c r="G112" s="70">
        <f t="shared" si="4"/>
        <v>815.72683894614647</v>
      </c>
    </row>
    <row r="113" spans="1:7" hidden="1">
      <c r="A113" s="61"/>
      <c r="B113" s="89" t="s">
        <v>233</v>
      </c>
      <c r="C113" s="90" t="s">
        <v>44</v>
      </c>
      <c r="D113" s="91" t="s">
        <v>234</v>
      </c>
      <c r="E113" s="92">
        <v>564.10378245630216</v>
      </c>
      <c r="F113" s="93">
        <v>0</v>
      </c>
      <c r="G113" s="93">
        <f t="shared" si="4"/>
        <v>564.10378245630216</v>
      </c>
    </row>
    <row r="114" spans="1:7" hidden="1">
      <c r="A114" s="62" t="s">
        <v>235</v>
      </c>
      <c r="B114" s="80" t="s">
        <v>230</v>
      </c>
      <c r="C114" s="83" t="s">
        <v>236</v>
      </c>
      <c r="D114" s="64" t="s">
        <v>367</v>
      </c>
      <c r="E114" s="96">
        <f>208.25253739183/1000</f>
        <v>0.20825253739183</v>
      </c>
      <c r="F114" s="74">
        <v>0</v>
      </c>
      <c r="G114" s="96">
        <f t="shared" si="4"/>
        <v>0.20825253739183</v>
      </c>
    </row>
    <row r="115" spans="1:7" hidden="1">
      <c r="A115" s="62"/>
      <c r="B115" s="63" t="s">
        <v>230</v>
      </c>
      <c r="C115" s="83" t="s">
        <v>143</v>
      </c>
      <c r="D115" s="64" t="s">
        <v>367</v>
      </c>
      <c r="E115" s="96">
        <f>98.4853852069546/1000</f>
        <v>9.8485385206954601E-2</v>
      </c>
      <c r="F115" s="74">
        <v>0</v>
      </c>
      <c r="G115" s="96">
        <f t="shared" si="4"/>
        <v>9.8485385206954601E-2</v>
      </c>
    </row>
    <row r="116" spans="1:7" hidden="1">
      <c r="A116" s="62"/>
      <c r="B116" s="63" t="s">
        <v>230</v>
      </c>
      <c r="C116" s="83" t="s">
        <v>125</v>
      </c>
      <c r="D116" s="64" t="s">
        <v>367</v>
      </c>
      <c r="E116" s="96">
        <f>205.822247299989/1000</f>
        <v>0.20582224729998899</v>
      </c>
      <c r="F116" s="74">
        <v>0</v>
      </c>
      <c r="G116" s="96">
        <f t="shared" si="4"/>
        <v>0.20582224729998899</v>
      </c>
    </row>
    <row r="117" spans="1:7" hidden="1">
      <c r="A117" s="61"/>
      <c r="B117" s="89" t="s">
        <v>230</v>
      </c>
      <c r="C117" s="90" t="s">
        <v>142</v>
      </c>
      <c r="D117" s="91" t="s">
        <v>367</v>
      </c>
      <c r="E117" s="112">
        <f>180/1000</f>
        <v>0.18</v>
      </c>
      <c r="F117" s="92">
        <v>0</v>
      </c>
      <c r="G117" s="112">
        <f t="shared" si="4"/>
        <v>0.18</v>
      </c>
    </row>
    <row r="118" spans="1:7" hidden="1">
      <c r="A118" s="62" t="s">
        <v>723</v>
      </c>
      <c r="B118" s="80" t="s">
        <v>724</v>
      </c>
      <c r="C118" s="83" t="s">
        <v>725</v>
      </c>
      <c r="D118" s="64" t="s">
        <v>726</v>
      </c>
      <c r="E118" s="74">
        <v>179000</v>
      </c>
      <c r="F118" s="74">
        <v>0</v>
      </c>
      <c r="G118" s="74">
        <f>SUM(E118:F118)</f>
        <v>179000</v>
      </c>
    </row>
    <row r="119" spans="1:7" hidden="1">
      <c r="A119" s="62"/>
      <c r="B119" s="63"/>
      <c r="C119" s="83" t="s">
        <v>729</v>
      </c>
      <c r="D119" s="64" t="s">
        <v>726</v>
      </c>
      <c r="E119" s="74">
        <f>0.9*E118+0.1*E120</f>
        <v>167800</v>
      </c>
      <c r="F119" s="74">
        <f>0.9*F118+0.1*F120</f>
        <v>0</v>
      </c>
      <c r="G119" s="74">
        <f>0.9*G118+0.1*G120</f>
        <v>167800</v>
      </c>
    </row>
    <row r="120" spans="1:7" hidden="1">
      <c r="A120" s="61"/>
      <c r="B120" s="89" t="s">
        <v>727</v>
      </c>
      <c r="C120" s="90" t="s">
        <v>728</v>
      </c>
      <c r="D120" s="91" t="s">
        <v>726</v>
      </c>
      <c r="E120" s="92">
        <v>67000</v>
      </c>
      <c r="F120" s="92">
        <v>0</v>
      </c>
      <c r="G120" s="92">
        <f>SUM(E120:F120)</f>
        <v>67000</v>
      </c>
    </row>
    <row r="121" spans="1:7">
      <c r="A121" s="118"/>
      <c r="B121" s="118"/>
      <c r="C121" s="118"/>
      <c r="D121" s="118"/>
      <c r="E121" s="118"/>
      <c r="F121" s="118"/>
      <c r="G121" s="118"/>
    </row>
    <row r="122" spans="1:7" hidden="1">
      <c r="A122" s="118"/>
      <c r="B122" s="118"/>
      <c r="C122" s="118"/>
      <c r="D122" s="118"/>
      <c r="E122" s="118"/>
      <c r="F122" s="118"/>
      <c r="G122" s="118"/>
    </row>
    <row r="123" spans="1:7" hidden="1">
      <c r="A123" s="118"/>
      <c r="B123" s="129"/>
      <c r="C123" s="276"/>
      <c r="D123" s="276"/>
      <c r="E123" s="276"/>
      <c r="F123" s="276"/>
      <c r="G123" s="276"/>
    </row>
    <row r="124" spans="1:7" hidden="1">
      <c r="A124" s="118"/>
      <c r="B124" s="129"/>
      <c r="C124" s="276"/>
      <c r="D124" s="276"/>
      <c r="E124" s="276"/>
      <c r="F124" s="276"/>
      <c r="G124" s="276"/>
    </row>
    <row r="125" spans="1:7" hidden="1">
      <c r="A125" s="118"/>
      <c r="B125" s="118"/>
      <c r="C125" s="118"/>
      <c r="D125" s="118"/>
      <c r="E125" s="118"/>
      <c r="F125" s="118"/>
      <c r="G125" s="118"/>
    </row>
    <row r="126" spans="1:7" hidden="1">
      <c r="A126" s="118"/>
      <c r="B126" s="118"/>
      <c r="C126" s="118"/>
      <c r="D126" s="118"/>
      <c r="E126" s="118"/>
      <c r="F126" s="118"/>
      <c r="G126" s="118"/>
    </row>
    <row r="127" spans="1:7" hidden="1">
      <c r="A127" s="118"/>
      <c r="B127" s="118"/>
      <c r="C127" s="118"/>
      <c r="D127" s="118"/>
      <c r="E127" s="118"/>
      <c r="F127" s="118"/>
      <c r="G127" s="118"/>
    </row>
    <row r="128" spans="1:7" hidden="1">
      <c r="A128" s="118"/>
      <c r="B128" s="118"/>
      <c r="C128" s="118"/>
      <c r="D128" s="118"/>
      <c r="E128" s="118"/>
      <c r="F128" s="118"/>
      <c r="G128" s="118"/>
    </row>
    <row r="129" spans="1:7" hidden="1">
      <c r="A129" s="118"/>
      <c r="B129" s="118"/>
      <c r="C129" s="118"/>
      <c r="D129" s="118"/>
      <c r="E129" s="118"/>
      <c r="F129" s="118"/>
      <c r="G129" s="118"/>
    </row>
    <row r="130" spans="1:7" hidden="1">
      <c r="A130" s="118"/>
      <c r="B130" s="118"/>
      <c r="C130" s="118"/>
      <c r="D130" s="118"/>
      <c r="E130" s="118"/>
      <c r="F130" s="118"/>
      <c r="G130" s="118"/>
    </row>
    <row r="131" spans="1:7" hidden="1">
      <c r="A131" s="118"/>
      <c r="B131" s="118"/>
      <c r="C131" s="118"/>
      <c r="D131" s="118"/>
      <c r="E131" s="118"/>
      <c r="F131" s="118"/>
      <c r="G131" s="118"/>
    </row>
    <row r="132" spans="1:7" hidden="1">
      <c r="A132" s="118"/>
      <c r="B132" s="118"/>
      <c r="C132" s="118"/>
      <c r="D132" s="118"/>
      <c r="E132" s="118"/>
      <c r="F132" s="118"/>
      <c r="G132" s="118"/>
    </row>
    <row r="133" spans="1:7" hidden="1">
      <c r="A133" s="118"/>
      <c r="B133" s="118"/>
      <c r="C133" s="118"/>
      <c r="D133" s="118"/>
      <c r="E133" s="118"/>
      <c r="F133" s="118"/>
      <c r="G133" s="118"/>
    </row>
    <row r="134" spans="1:7" hidden="1">
      <c r="A134" s="118"/>
      <c r="B134" s="118"/>
      <c r="C134" s="118"/>
      <c r="D134" s="118"/>
      <c r="E134" s="118"/>
      <c r="F134" s="118"/>
      <c r="G134" s="118"/>
    </row>
    <row r="135" spans="1:7" hidden="1">
      <c r="A135" s="118"/>
      <c r="B135" s="118"/>
      <c r="C135" s="118"/>
      <c r="D135" s="118"/>
      <c r="E135" s="118"/>
      <c r="F135" s="118"/>
      <c r="G135" s="118"/>
    </row>
  </sheetData>
  <sheetProtection algorithmName="SHA-512" hashValue="QElNqBjkbqTQtejkCDVXnb+pwiSbxs3lUy3bhyyZGAXveX+f2v1W6v3QSMtM3qesxsnYgurd9qa+Va3kq9eVUA==" saltValue="cTubTWmBub4NbQ36Pzq6LQ==" spinCount="100000" sheet="1" scenarios="1" selectLockedCells="1" selectUnlockedCells="1"/>
  <mergeCells count="7">
    <mergeCell ref="G1:G2"/>
    <mergeCell ref="A1:A2"/>
    <mergeCell ref="B1:B2"/>
    <mergeCell ref="C1:C2"/>
    <mergeCell ref="D1:D2"/>
    <mergeCell ref="E1:E2"/>
    <mergeCell ref="F1:F2"/>
  </mergeCells>
  <phoneticPr fontId="13" type="noConversion"/>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540EFA-D89B-804E-995F-B3D97D29790B}">
  <sheetPr codeName="Sheet14">
    <tabColor theme="4"/>
  </sheetPr>
  <dimension ref="A1:Q305"/>
  <sheetViews>
    <sheetView topLeftCell="A5" workbookViewId="0">
      <selection activeCell="B228" sqref="B228"/>
    </sheetView>
  </sheetViews>
  <sheetFormatPr baseColWidth="10" defaultRowHeight="15.75"/>
  <cols>
    <col min="1" max="1" width="29.125" customWidth="1"/>
    <col min="2" max="2" width="18.875" customWidth="1"/>
    <col min="3" max="4" width="21.875" customWidth="1"/>
    <col min="5" max="11" width="15.875" customWidth="1"/>
    <col min="12" max="13" width="27.125" customWidth="1"/>
    <col min="14" max="15" width="22" customWidth="1"/>
    <col min="16" max="16" width="27.125" customWidth="1"/>
  </cols>
  <sheetData>
    <row r="1" spans="1:17" ht="15.95" customHeight="1">
      <c r="A1" s="142" t="s">
        <v>203</v>
      </c>
      <c r="B1" s="142" t="s">
        <v>339</v>
      </c>
      <c r="C1" s="142" t="s">
        <v>264</v>
      </c>
      <c r="D1" s="149" t="s">
        <v>26</v>
      </c>
      <c r="E1" s="450" t="s">
        <v>204</v>
      </c>
      <c r="F1" s="451"/>
      <c r="G1" s="452" t="s">
        <v>73</v>
      </c>
      <c r="H1" s="452"/>
      <c r="I1" s="452"/>
      <c r="J1" s="452"/>
      <c r="K1" s="452"/>
      <c r="L1" s="95" t="s">
        <v>700</v>
      </c>
      <c r="M1" s="95" t="s">
        <v>205</v>
      </c>
      <c r="N1" s="95" t="s">
        <v>206</v>
      </c>
      <c r="O1" s="95" t="s">
        <v>186</v>
      </c>
      <c r="P1" s="95" t="s">
        <v>34</v>
      </c>
    </row>
    <row r="2" spans="1:17">
      <c r="A2" s="453" t="s">
        <v>203</v>
      </c>
      <c r="B2" s="454" t="s">
        <v>672</v>
      </c>
      <c r="C2" s="453" t="s">
        <v>264</v>
      </c>
      <c r="D2" s="51" t="s">
        <v>680</v>
      </c>
      <c r="E2" s="51" t="s">
        <v>208</v>
      </c>
      <c r="F2" s="27" t="s">
        <v>209</v>
      </c>
      <c r="G2" s="52" t="s">
        <v>77</v>
      </c>
      <c r="H2" s="52" t="s">
        <v>76</v>
      </c>
      <c r="I2" s="52" t="s">
        <v>74</v>
      </c>
      <c r="J2" s="52" t="s">
        <v>78</v>
      </c>
      <c r="K2" s="53" t="s">
        <v>79</v>
      </c>
      <c r="L2" s="27" t="s">
        <v>207</v>
      </c>
      <c r="M2" s="27" t="s">
        <v>207</v>
      </c>
      <c r="N2" s="54" t="s">
        <v>207</v>
      </c>
      <c r="O2" s="54" t="s">
        <v>211</v>
      </c>
      <c r="P2" s="54" t="s">
        <v>828</v>
      </c>
    </row>
    <row r="3" spans="1:17">
      <c r="A3" s="453"/>
      <c r="B3" s="454"/>
      <c r="C3" s="453"/>
      <c r="D3" s="51" t="s">
        <v>71</v>
      </c>
      <c r="E3" s="51" t="s">
        <v>81</v>
      </c>
      <c r="F3" s="27" t="s">
        <v>81</v>
      </c>
      <c r="G3" s="50" t="s">
        <v>213</v>
      </c>
      <c r="H3" s="50" t="s">
        <v>213</v>
      </c>
      <c r="I3" s="50" t="s">
        <v>213</v>
      </c>
      <c r="J3" s="50" t="s">
        <v>213</v>
      </c>
      <c r="K3" s="27" t="s">
        <v>213</v>
      </c>
      <c r="L3" s="27" t="s">
        <v>212</v>
      </c>
      <c r="M3" s="27" t="s">
        <v>212</v>
      </c>
      <c r="N3" s="141" t="s">
        <v>214</v>
      </c>
      <c r="O3" s="141" t="s">
        <v>214</v>
      </c>
      <c r="P3" s="141" t="s">
        <v>367</v>
      </c>
    </row>
    <row r="4" spans="1:17">
      <c r="A4" s="55" t="s">
        <v>383</v>
      </c>
      <c r="B4" s="55">
        <v>5621</v>
      </c>
      <c r="C4" s="56" t="s">
        <v>673</v>
      </c>
      <c r="D4" s="59">
        <v>14980.757</v>
      </c>
      <c r="E4" s="58">
        <v>262</v>
      </c>
      <c r="F4" s="56">
        <v>57</v>
      </c>
      <c r="G4" s="57">
        <v>6</v>
      </c>
      <c r="H4" s="57">
        <v>121.36</v>
      </c>
      <c r="I4" s="57">
        <v>11</v>
      </c>
      <c r="J4" s="57">
        <v>23</v>
      </c>
      <c r="K4" s="56">
        <v>0</v>
      </c>
      <c r="L4" s="56">
        <v>539</v>
      </c>
      <c r="M4" s="98">
        <v>506</v>
      </c>
      <c r="N4" s="98">
        <v>115.5</v>
      </c>
      <c r="O4" s="98">
        <v>1256</v>
      </c>
      <c r="P4" s="98">
        <v>1002</v>
      </c>
      <c r="Q4" s="29"/>
    </row>
    <row r="5" spans="1:17">
      <c r="A5" s="55" t="s">
        <v>384</v>
      </c>
      <c r="B5" s="55">
        <v>5742</v>
      </c>
      <c r="C5" s="56" t="s">
        <v>673</v>
      </c>
      <c r="D5" s="59">
        <v>995.221</v>
      </c>
      <c r="E5" s="58">
        <v>343</v>
      </c>
      <c r="F5" s="56">
        <v>171</v>
      </c>
      <c r="G5" s="57">
        <v>249</v>
      </c>
      <c r="H5" s="57">
        <v>202.75</v>
      </c>
      <c r="I5" s="57">
        <v>4</v>
      </c>
      <c r="J5" s="57">
        <v>34</v>
      </c>
      <c r="K5" s="56">
        <v>0</v>
      </c>
      <c r="L5" s="56">
        <v>354</v>
      </c>
      <c r="M5" s="98">
        <v>323</v>
      </c>
      <c r="N5" s="98">
        <v>2.5</v>
      </c>
      <c r="O5" s="98">
        <v>20</v>
      </c>
      <c r="P5" s="98">
        <v>5813</v>
      </c>
      <c r="Q5" s="29"/>
    </row>
    <row r="6" spans="1:17">
      <c r="A6" s="55" t="s">
        <v>385</v>
      </c>
      <c r="B6" s="55">
        <v>5401</v>
      </c>
      <c r="C6" s="56" t="s">
        <v>674</v>
      </c>
      <c r="D6" s="59">
        <v>49682.885999999999</v>
      </c>
      <c r="E6" s="58">
        <v>514</v>
      </c>
      <c r="F6" s="56">
        <v>612</v>
      </c>
      <c r="G6" s="57">
        <v>0</v>
      </c>
      <c r="H6" s="57">
        <v>110.97</v>
      </c>
      <c r="I6" s="57">
        <v>16</v>
      </c>
      <c r="J6" s="57">
        <v>155</v>
      </c>
      <c r="K6" s="56">
        <v>27</v>
      </c>
      <c r="L6" s="56">
        <v>10217</v>
      </c>
      <c r="M6" s="98">
        <v>9639</v>
      </c>
      <c r="N6" s="98">
        <v>317.39999999999998</v>
      </c>
      <c r="O6" s="98">
        <v>3991</v>
      </c>
      <c r="P6" s="98">
        <v>79931</v>
      </c>
      <c r="Q6" s="29"/>
    </row>
    <row r="7" spans="1:17">
      <c r="A7" s="55" t="s">
        <v>386</v>
      </c>
      <c r="B7" s="55">
        <v>5851</v>
      </c>
      <c r="C7" s="56" t="s">
        <v>673</v>
      </c>
      <c r="D7" s="59">
        <v>0</v>
      </c>
      <c r="E7" s="58">
        <v>151</v>
      </c>
      <c r="F7" s="56">
        <v>45</v>
      </c>
      <c r="G7" s="57">
        <v>0</v>
      </c>
      <c r="H7" s="57">
        <v>0</v>
      </c>
      <c r="I7" s="57">
        <v>5</v>
      </c>
      <c r="J7" s="57">
        <v>14</v>
      </c>
      <c r="K7" s="56">
        <v>0</v>
      </c>
      <c r="L7" s="56">
        <v>451</v>
      </c>
      <c r="M7" s="98">
        <v>431</v>
      </c>
      <c r="N7" s="98">
        <v>45.6</v>
      </c>
      <c r="O7" s="98">
        <v>325</v>
      </c>
      <c r="P7" s="98">
        <v>2707</v>
      </c>
      <c r="Q7" s="29"/>
    </row>
    <row r="8" spans="1:17">
      <c r="A8" s="55" t="s">
        <v>671</v>
      </c>
      <c r="B8" s="55">
        <v>5701</v>
      </c>
      <c r="C8" s="56" t="s">
        <v>673</v>
      </c>
      <c r="D8" s="59">
        <v>1049.9110000000001</v>
      </c>
      <c r="E8" s="58">
        <v>154</v>
      </c>
      <c r="F8" s="56">
        <v>34</v>
      </c>
      <c r="G8" s="57">
        <v>0</v>
      </c>
      <c r="H8" s="57">
        <v>32.49</v>
      </c>
      <c r="I8" s="57">
        <v>3</v>
      </c>
      <c r="J8" s="57">
        <v>0</v>
      </c>
      <c r="K8" s="56">
        <v>0</v>
      </c>
      <c r="L8" s="56">
        <v>229</v>
      </c>
      <c r="M8" s="98">
        <v>217</v>
      </c>
      <c r="N8" s="98">
        <v>0.8</v>
      </c>
      <c r="O8" s="98">
        <v>2</v>
      </c>
      <c r="P8" s="98">
        <v>1149</v>
      </c>
    </row>
    <row r="9" spans="1:17">
      <c r="A9" s="55" t="s">
        <v>670</v>
      </c>
      <c r="B9" s="55">
        <v>5743</v>
      </c>
      <c r="C9" s="56" t="s">
        <v>673</v>
      </c>
      <c r="D9" s="59">
        <v>1801.979</v>
      </c>
      <c r="E9" s="58">
        <v>556</v>
      </c>
      <c r="F9" s="56">
        <v>148</v>
      </c>
      <c r="G9" s="57">
        <v>0</v>
      </c>
      <c r="H9" s="57">
        <v>215.06</v>
      </c>
      <c r="I9" s="57">
        <v>49</v>
      </c>
      <c r="J9" s="57">
        <v>29</v>
      </c>
      <c r="K9" s="56">
        <v>4</v>
      </c>
      <c r="L9" s="56">
        <v>633</v>
      </c>
      <c r="M9" s="98">
        <v>601</v>
      </c>
      <c r="N9" s="98">
        <v>6.4</v>
      </c>
      <c r="O9" s="98">
        <v>41</v>
      </c>
      <c r="P9" s="98">
        <v>1624</v>
      </c>
    </row>
    <row r="10" spans="1:17">
      <c r="A10" s="55" t="s">
        <v>388</v>
      </c>
      <c r="B10" s="55">
        <v>5702</v>
      </c>
      <c r="C10" s="56" t="s">
        <v>673</v>
      </c>
      <c r="D10" s="59">
        <v>11869.486000000001</v>
      </c>
      <c r="E10" s="58">
        <v>1295</v>
      </c>
      <c r="F10" s="56">
        <v>3694</v>
      </c>
      <c r="G10" s="57">
        <v>0</v>
      </c>
      <c r="H10" s="57">
        <v>209.75</v>
      </c>
      <c r="I10" s="57">
        <v>24</v>
      </c>
      <c r="J10" s="57">
        <v>28</v>
      </c>
      <c r="K10" s="56">
        <v>0</v>
      </c>
      <c r="L10" s="56">
        <v>2801</v>
      </c>
      <c r="M10" s="98">
        <v>2654</v>
      </c>
      <c r="N10" s="98">
        <v>55.6</v>
      </c>
      <c r="O10" s="98">
        <v>87</v>
      </c>
      <c r="P10" s="98">
        <v>21675</v>
      </c>
    </row>
    <row r="11" spans="1:17" s="381" customFormat="1">
      <c r="A11" s="376" t="s">
        <v>389</v>
      </c>
      <c r="B11" s="376">
        <v>5511</v>
      </c>
      <c r="C11" s="377" t="s">
        <v>673</v>
      </c>
      <c r="D11" s="378">
        <v>8064.4120000000003</v>
      </c>
      <c r="E11" s="379">
        <v>637</v>
      </c>
      <c r="F11" s="377">
        <v>114</v>
      </c>
      <c r="G11" s="380">
        <v>19</v>
      </c>
      <c r="H11" s="380">
        <v>507.33000000000004</v>
      </c>
      <c r="I11" s="380">
        <v>117</v>
      </c>
      <c r="J11" s="380">
        <v>0</v>
      </c>
      <c r="K11" s="377">
        <v>1</v>
      </c>
      <c r="L11" s="377">
        <v>1595</v>
      </c>
      <c r="M11" s="377">
        <v>1499</v>
      </c>
      <c r="N11" s="377">
        <v>86.8</v>
      </c>
      <c r="O11" s="377">
        <v>896</v>
      </c>
      <c r="P11" s="377">
        <v>7505</v>
      </c>
    </row>
    <row r="12" spans="1:17">
      <c r="A12" s="55" t="s">
        <v>390</v>
      </c>
      <c r="B12" s="55">
        <v>5422</v>
      </c>
      <c r="C12" s="56" t="s">
        <v>675</v>
      </c>
      <c r="D12" s="59">
        <v>0</v>
      </c>
      <c r="E12" s="58">
        <v>593</v>
      </c>
      <c r="F12" s="56">
        <v>160</v>
      </c>
      <c r="G12" s="57">
        <v>37</v>
      </c>
      <c r="H12" s="57">
        <v>403.31</v>
      </c>
      <c r="I12" s="57">
        <v>58</v>
      </c>
      <c r="J12" s="57">
        <v>21</v>
      </c>
      <c r="K12" s="56">
        <v>177</v>
      </c>
      <c r="L12" s="56">
        <v>3276</v>
      </c>
      <c r="M12" s="98">
        <v>3111</v>
      </c>
      <c r="N12" s="98">
        <v>488.9</v>
      </c>
      <c r="O12" s="98">
        <v>2338</v>
      </c>
      <c r="P12" s="98">
        <v>20190</v>
      </c>
    </row>
    <row r="13" spans="1:17">
      <c r="A13" s="55" t="s">
        <v>391</v>
      </c>
      <c r="B13" s="55">
        <v>5451</v>
      </c>
      <c r="C13" s="56" t="s">
        <v>675</v>
      </c>
      <c r="D13" s="59">
        <v>0</v>
      </c>
      <c r="E13" s="58">
        <v>1218</v>
      </c>
      <c r="F13" s="56">
        <v>322</v>
      </c>
      <c r="G13" s="57">
        <v>4</v>
      </c>
      <c r="H13" s="57">
        <v>581.02</v>
      </c>
      <c r="I13" s="57">
        <v>166</v>
      </c>
      <c r="J13" s="57">
        <v>302</v>
      </c>
      <c r="K13" s="56">
        <v>19</v>
      </c>
      <c r="L13" s="56">
        <v>4305</v>
      </c>
      <c r="M13" s="98">
        <v>4063</v>
      </c>
      <c r="N13" s="98">
        <v>127.3</v>
      </c>
      <c r="O13" s="98">
        <v>1671</v>
      </c>
      <c r="P13" s="98">
        <v>41305</v>
      </c>
    </row>
    <row r="14" spans="1:17">
      <c r="A14" s="55" t="s">
        <v>392</v>
      </c>
      <c r="B14" s="55">
        <v>5744</v>
      </c>
      <c r="C14" s="56" t="s">
        <v>673</v>
      </c>
      <c r="D14" s="59">
        <v>0</v>
      </c>
      <c r="E14" s="58">
        <v>361</v>
      </c>
      <c r="F14" s="56">
        <v>444</v>
      </c>
      <c r="G14" s="57">
        <v>403</v>
      </c>
      <c r="H14" s="57">
        <v>408.14</v>
      </c>
      <c r="I14" s="57">
        <v>44</v>
      </c>
      <c r="J14" s="57">
        <v>107</v>
      </c>
      <c r="K14" s="56">
        <v>1</v>
      </c>
      <c r="L14" s="56">
        <v>1108</v>
      </c>
      <c r="M14" s="98">
        <v>1039</v>
      </c>
      <c r="N14" s="98">
        <v>576.20000000000005</v>
      </c>
      <c r="O14" s="98">
        <v>260</v>
      </c>
      <c r="P14" s="98">
        <v>8562</v>
      </c>
    </row>
    <row r="15" spans="1:17">
      <c r="A15" s="55" t="s">
        <v>393</v>
      </c>
      <c r="B15" s="55">
        <v>5423</v>
      </c>
      <c r="C15" s="56" t="s">
        <v>673</v>
      </c>
      <c r="D15" s="59">
        <v>1710.9</v>
      </c>
      <c r="E15" s="58">
        <v>532</v>
      </c>
      <c r="F15" s="56">
        <v>251</v>
      </c>
      <c r="G15" s="57">
        <v>476</v>
      </c>
      <c r="H15" s="57">
        <v>214.58</v>
      </c>
      <c r="I15" s="57">
        <v>8</v>
      </c>
      <c r="J15" s="57">
        <v>11</v>
      </c>
      <c r="K15" s="56">
        <v>4</v>
      </c>
      <c r="L15" s="56">
        <v>545</v>
      </c>
      <c r="M15" s="98">
        <v>514</v>
      </c>
      <c r="N15" s="98">
        <v>8.6</v>
      </c>
      <c r="O15" s="98">
        <v>180</v>
      </c>
      <c r="P15" s="98">
        <v>3277</v>
      </c>
    </row>
    <row r="16" spans="1:17">
      <c r="A16" s="55" t="s">
        <v>394</v>
      </c>
      <c r="B16" s="55">
        <v>5703</v>
      </c>
      <c r="C16" s="56" t="s">
        <v>673</v>
      </c>
      <c r="D16" s="59">
        <v>5025.0110000000004</v>
      </c>
      <c r="E16" s="58">
        <v>716</v>
      </c>
      <c r="F16" s="56">
        <v>1279</v>
      </c>
      <c r="G16" s="57">
        <v>19</v>
      </c>
      <c r="H16" s="57">
        <v>506.98</v>
      </c>
      <c r="I16" s="57">
        <v>12</v>
      </c>
      <c r="J16" s="57">
        <v>33</v>
      </c>
      <c r="K16" s="56">
        <v>28</v>
      </c>
      <c r="L16" s="56">
        <v>1395</v>
      </c>
      <c r="M16" s="98">
        <v>1337</v>
      </c>
      <c r="N16" s="98">
        <v>22.8</v>
      </c>
      <c r="O16" s="98">
        <v>79</v>
      </c>
      <c r="P16" s="98">
        <v>3820</v>
      </c>
    </row>
    <row r="17" spans="1:16">
      <c r="A17" s="55" t="s">
        <v>395</v>
      </c>
      <c r="B17" s="55">
        <v>5745</v>
      </c>
      <c r="C17" s="56" t="s">
        <v>673</v>
      </c>
      <c r="D17" s="59">
        <v>3570.9209999999998</v>
      </c>
      <c r="E17" s="58">
        <v>897</v>
      </c>
      <c r="F17" s="56">
        <v>1241</v>
      </c>
      <c r="G17" s="57">
        <v>487</v>
      </c>
      <c r="H17" s="57">
        <v>286.29000000000002</v>
      </c>
      <c r="I17" s="57">
        <v>28</v>
      </c>
      <c r="J17" s="57">
        <v>3</v>
      </c>
      <c r="K17" s="56">
        <v>7</v>
      </c>
      <c r="L17" s="56">
        <v>1042</v>
      </c>
      <c r="M17" s="98">
        <v>988</v>
      </c>
      <c r="N17" s="98">
        <v>44.4</v>
      </c>
      <c r="O17" s="98">
        <v>166</v>
      </c>
      <c r="P17" s="98">
        <v>6680</v>
      </c>
    </row>
    <row r="18" spans="1:16">
      <c r="A18" s="55" t="s">
        <v>396</v>
      </c>
      <c r="B18" s="55">
        <v>5746</v>
      </c>
      <c r="C18" s="56" t="s">
        <v>673</v>
      </c>
      <c r="D18" s="59">
        <v>4227.1360000000004</v>
      </c>
      <c r="E18" s="58">
        <v>682</v>
      </c>
      <c r="F18" s="56">
        <v>149</v>
      </c>
      <c r="G18" s="57">
        <v>0</v>
      </c>
      <c r="H18" s="57">
        <v>346.09</v>
      </c>
      <c r="I18" s="57">
        <v>48</v>
      </c>
      <c r="J18" s="57">
        <v>23</v>
      </c>
      <c r="K18" s="56">
        <v>2</v>
      </c>
      <c r="L18" s="56">
        <v>952</v>
      </c>
      <c r="M18" s="98">
        <v>895</v>
      </c>
      <c r="N18" s="98">
        <v>9.5</v>
      </c>
      <c r="O18" s="98">
        <v>118</v>
      </c>
      <c r="P18" s="98">
        <v>4485</v>
      </c>
    </row>
    <row r="19" spans="1:16">
      <c r="A19" s="55" t="s">
        <v>397</v>
      </c>
      <c r="B19" s="55">
        <v>5704</v>
      </c>
      <c r="C19" s="56" t="s">
        <v>673</v>
      </c>
      <c r="D19" s="59">
        <v>0</v>
      </c>
      <c r="E19" s="58">
        <v>327</v>
      </c>
      <c r="F19" s="56">
        <v>81</v>
      </c>
      <c r="G19" s="57">
        <v>0</v>
      </c>
      <c r="H19" s="57">
        <v>44.49</v>
      </c>
      <c r="I19" s="57">
        <v>57</v>
      </c>
      <c r="J19" s="57">
        <v>5</v>
      </c>
      <c r="K19" s="56">
        <v>3</v>
      </c>
      <c r="L19" s="56">
        <v>1931</v>
      </c>
      <c r="M19" s="98">
        <v>1828</v>
      </c>
      <c r="N19" s="98">
        <v>24.3</v>
      </c>
      <c r="O19" s="98">
        <v>149</v>
      </c>
      <c r="P19" s="98">
        <v>4300</v>
      </c>
    </row>
    <row r="20" spans="1:16">
      <c r="A20" s="55" t="s">
        <v>669</v>
      </c>
      <c r="B20" s="55">
        <v>5581</v>
      </c>
      <c r="C20" s="56" t="s">
        <v>676</v>
      </c>
      <c r="D20" s="59">
        <v>31.628</v>
      </c>
      <c r="E20" s="58">
        <v>77</v>
      </c>
      <c r="F20" s="56">
        <v>76</v>
      </c>
      <c r="G20" s="57">
        <v>0</v>
      </c>
      <c r="H20" s="57">
        <v>75.13</v>
      </c>
      <c r="I20" s="57">
        <v>2</v>
      </c>
      <c r="J20" s="57">
        <v>18</v>
      </c>
      <c r="K20" s="56">
        <v>8</v>
      </c>
      <c r="L20" s="56">
        <v>3773</v>
      </c>
      <c r="M20" s="98">
        <v>3578</v>
      </c>
      <c r="N20" s="98">
        <v>2.5</v>
      </c>
      <c r="O20" s="98">
        <v>249</v>
      </c>
      <c r="P20" s="98">
        <v>11667</v>
      </c>
    </row>
    <row r="21" spans="1:16">
      <c r="A21" s="55" t="s">
        <v>668</v>
      </c>
      <c r="B21" s="55">
        <v>5902</v>
      </c>
      <c r="C21" s="56" t="s">
        <v>673</v>
      </c>
      <c r="D21" s="59">
        <v>1166.739</v>
      </c>
      <c r="E21" s="58">
        <v>484</v>
      </c>
      <c r="F21" s="56">
        <v>119</v>
      </c>
      <c r="G21" s="57">
        <v>14</v>
      </c>
      <c r="H21" s="57">
        <v>226.98</v>
      </c>
      <c r="I21" s="57">
        <v>17</v>
      </c>
      <c r="J21" s="57">
        <v>253</v>
      </c>
      <c r="K21" s="56">
        <v>2</v>
      </c>
      <c r="L21" s="56">
        <v>374</v>
      </c>
      <c r="M21" s="98">
        <v>356</v>
      </c>
      <c r="N21" s="98">
        <v>0</v>
      </c>
      <c r="O21" s="98">
        <v>8</v>
      </c>
      <c r="P21" s="98">
        <v>1173</v>
      </c>
    </row>
    <row r="22" spans="1:16">
      <c r="A22" s="55" t="s">
        <v>398</v>
      </c>
      <c r="B22" s="55">
        <v>5512</v>
      </c>
      <c r="C22" s="56" t="s">
        <v>673</v>
      </c>
      <c r="D22" s="59">
        <v>5302.5730000000003</v>
      </c>
      <c r="E22" s="58">
        <v>237</v>
      </c>
      <c r="F22" s="56">
        <v>112</v>
      </c>
      <c r="G22" s="57">
        <v>319</v>
      </c>
      <c r="H22" s="57">
        <v>65.11</v>
      </c>
      <c r="I22" s="57">
        <v>13</v>
      </c>
      <c r="J22" s="57">
        <v>34</v>
      </c>
      <c r="K22" s="56">
        <v>20</v>
      </c>
      <c r="L22" s="56">
        <v>1280</v>
      </c>
      <c r="M22" s="98">
        <v>1209</v>
      </c>
      <c r="N22" s="98">
        <v>18.5</v>
      </c>
      <c r="O22" s="98">
        <v>344</v>
      </c>
      <c r="P22" s="98">
        <v>10576</v>
      </c>
    </row>
    <row r="23" spans="1:16">
      <c r="A23" s="55" t="s">
        <v>399</v>
      </c>
      <c r="B23" s="55">
        <v>5424</v>
      </c>
      <c r="C23" s="56" t="s">
        <v>673</v>
      </c>
      <c r="D23" s="59">
        <v>1053.8140000000001</v>
      </c>
      <c r="E23" s="58">
        <v>335</v>
      </c>
      <c r="F23" s="56">
        <v>597</v>
      </c>
      <c r="G23" s="57">
        <v>0</v>
      </c>
      <c r="H23" s="57">
        <v>398.49</v>
      </c>
      <c r="I23" s="57">
        <v>26</v>
      </c>
      <c r="J23" s="57">
        <v>39</v>
      </c>
      <c r="K23" s="56">
        <v>3</v>
      </c>
      <c r="L23" s="56">
        <v>300</v>
      </c>
      <c r="M23" s="98">
        <v>279</v>
      </c>
      <c r="N23" s="98">
        <v>0.8</v>
      </c>
      <c r="O23" s="98">
        <v>5</v>
      </c>
      <c r="P23" s="98">
        <v>580</v>
      </c>
    </row>
    <row r="24" spans="1:16">
      <c r="A24" s="55" t="s">
        <v>400</v>
      </c>
      <c r="B24" s="55">
        <v>5471</v>
      </c>
      <c r="C24" s="56" t="s">
        <v>673</v>
      </c>
      <c r="D24" s="59">
        <v>1613.425</v>
      </c>
      <c r="E24" s="58">
        <v>276</v>
      </c>
      <c r="F24" s="56">
        <v>55</v>
      </c>
      <c r="G24" s="57">
        <v>0</v>
      </c>
      <c r="H24" s="57">
        <v>285.38</v>
      </c>
      <c r="I24" s="57">
        <v>5</v>
      </c>
      <c r="J24" s="57">
        <v>35</v>
      </c>
      <c r="K24" s="56">
        <v>1</v>
      </c>
      <c r="L24" s="56">
        <v>650</v>
      </c>
      <c r="M24" s="98">
        <v>590</v>
      </c>
      <c r="N24" s="98">
        <v>0.8</v>
      </c>
      <c r="O24" s="98">
        <v>27</v>
      </c>
      <c r="P24" s="98">
        <v>11165</v>
      </c>
    </row>
    <row r="25" spans="1:16">
      <c r="A25" s="55" t="s">
        <v>401</v>
      </c>
      <c r="B25" s="55">
        <v>5402</v>
      </c>
      <c r="C25" s="56" t="s">
        <v>675</v>
      </c>
      <c r="D25" s="59">
        <v>0</v>
      </c>
      <c r="E25" s="58">
        <v>2578</v>
      </c>
      <c r="F25" s="56">
        <v>3295</v>
      </c>
      <c r="G25" s="57">
        <v>4</v>
      </c>
      <c r="H25" s="57">
        <v>854.61</v>
      </c>
      <c r="I25" s="57">
        <v>118</v>
      </c>
      <c r="J25" s="57">
        <v>1311</v>
      </c>
      <c r="K25" s="56">
        <v>280</v>
      </c>
      <c r="L25" s="56">
        <v>7869</v>
      </c>
      <c r="M25" s="98">
        <v>7397</v>
      </c>
      <c r="N25" s="98">
        <v>63.9</v>
      </c>
      <c r="O25" s="98">
        <v>1600</v>
      </c>
      <c r="P25" s="98">
        <v>20393</v>
      </c>
    </row>
    <row r="26" spans="1:16">
      <c r="A26" s="55" t="s">
        <v>667</v>
      </c>
      <c r="B26" s="55">
        <v>5425</v>
      </c>
      <c r="C26" s="56" t="s">
        <v>673</v>
      </c>
      <c r="D26" s="59">
        <v>21.885999999999999</v>
      </c>
      <c r="E26" s="58">
        <v>944</v>
      </c>
      <c r="F26" s="56">
        <v>1292</v>
      </c>
      <c r="G26" s="57">
        <v>0</v>
      </c>
      <c r="H26" s="57">
        <v>741.68</v>
      </c>
      <c r="I26" s="57">
        <v>43</v>
      </c>
      <c r="J26" s="57">
        <v>13</v>
      </c>
      <c r="K26" s="56">
        <v>9</v>
      </c>
      <c r="L26" s="56">
        <v>1596</v>
      </c>
      <c r="M26" s="98">
        <v>1528</v>
      </c>
      <c r="N26" s="98">
        <v>16.7</v>
      </c>
      <c r="O26" s="98">
        <v>203</v>
      </c>
      <c r="P26" s="98">
        <v>11178</v>
      </c>
    </row>
    <row r="27" spans="1:16">
      <c r="A27" s="55" t="s">
        <v>402</v>
      </c>
      <c r="B27" s="55">
        <v>5903</v>
      </c>
      <c r="C27" s="56" t="s">
        <v>673</v>
      </c>
      <c r="D27" s="59">
        <v>1022.293</v>
      </c>
      <c r="E27" s="58">
        <v>285</v>
      </c>
      <c r="F27" s="56">
        <v>112</v>
      </c>
      <c r="G27" s="57">
        <v>0</v>
      </c>
      <c r="H27" s="57">
        <v>94.73</v>
      </c>
      <c r="I27" s="57">
        <v>2</v>
      </c>
      <c r="J27" s="57">
        <v>12</v>
      </c>
      <c r="K27" s="56">
        <v>8</v>
      </c>
      <c r="L27" s="56">
        <v>228</v>
      </c>
      <c r="M27" s="98">
        <v>209</v>
      </c>
      <c r="N27" s="98">
        <v>4.5999999999999996</v>
      </c>
      <c r="O27" s="98">
        <v>6</v>
      </c>
      <c r="P27" s="98">
        <v>278</v>
      </c>
    </row>
    <row r="28" spans="1:16">
      <c r="A28" s="55" t="s">
        <v>404</v>
      </c>
      <c r="B28" s="55">
        <v>5881</v>
      </c>
      <c r="C28" s="56" t="s">
        <v>676</v>
      </c>
      <c r="D28" s="59">
        <v>20187.721000000001</v>
      </c>
      <c r="E28" s="58">
        <v>519</v>
      </c>
      <c r="F28" s="56">
        <v>735</v>
      </c>
      <c r="G28" s="57">
        <v>0</v>
      </c>
      <c r="H28" s="57">
        <v>218.15</v>
      </c>
      <c r="I28" s="57">
        <v>10</v>
      </c>
      <c r="J28" s="57">
        <v>17</v>
      </c>
      <c r="K28" s="56">
        <v>25</v>
      </c>
      <c r="L28" s="56">
        <v>6151</v>
      </c>
      <c r="M28" s="98">
        <v>5908</v>
      </c>
      <c r="N28" s="98">
        <v>69.599999999999994</v>
      </c>
      <c r="O28" s="98">
        <v>939</v>
      </c>
      <c r="P28" s="98">
        <v>26074</v>
      </c>
    </row>
    <row r="29" spans="1:16">
      <c r="A29" s="55" t="s">
        <v>405</v>
      </c>
      <c r="B29" s="55">
        <v>5747</v>
      </c>
      <c r="C29" s="56" t="s">
        <v>673</v>
      </c>
      <c r="D29" s="59">
        <v>737.46400000000006</v>
      </c>
      <c r="E29" s="58">
        <v>296</v>
      </c>
      <c r="F29" s="56">
        <v>98</v>
      </c>
      <c r="G29" s="57">
        <v>0</v>
      </c>
      <c r="H29" s="57">
        <v>266.10000000000002</v>
      </c>
      <c r="I29" s="57">
        <v>17</v>
      </c>
      <c r="J29" s="57">
        <v>19</v>
      </c>
      <c r="K29" s="56">
        <v>2</v>
      </c>
      <c r="L29" s="56">
        <v>194</v>
      </c>
      <c r="M29" s="98">
        <v>183</v>
      </c>
      <c r="N29" s="98">
        <v>0</v>
      </c>
      <c r="O29" s="98">
        <v>6</v>
      </c>
      <c r="P29" s="98">
        <v>1079</v>
      </c>
    </row>
    <row r="30" spans="1:16">
      <c r="A30" s="55" t="s">
        <v>406</v>
      </c>
      <c r="B30" s="55">
        <v>5705</v>
      </c>
      <c r="C30" s="56" t="s">
        <v>673</v>
      </c>
      <c r="D30" s="59">
        <v>4467.9709999999995</v>
      </c>
      <c r="E30" s="58">
        <v>139</v>
      </c>
      <c r="F30" s="56">
        <v>69</v>
      </c>
      <c r="G30" s="57">
        <v>0</v>
      </c>
      <c r="H30" s="57">
        <v>76.3</v>
      </c>
      <c r="I30" s="57">
        <v>7</v>
      </c>
      <c r="J30" s="57">
        <v>40</v>
      </c>
      <c r="K30" s="56">
        <v>0</v>
      </c>
      <c r="L30" s="56">
        <v>825</v>
      </c>
      <c r="M30" s="98">
        <v>797</v>
      </c>
      <c r="N30" s="98">
        <v>20.399999999999999</v>
      </c>
      <c r="O30" s="98">
        <v>30</v>
      </c>
      <c r="P30" s="98">
        <v>240</v>
      </c>
    </row>
    <row r="31" spans="1:16">
      <c r="A31" s="55" t="s">
        <v>407</v>
      </c>
      <c r="B31" s="55">
        <v>5551</v>
      </c>
      <c r="C31" s="56" t="s">
        <v>673</v>
      </c>
      <c r="D31" s="59">
        <v>5770.7290000000003</v>
      </c>
      <c r="E31" s="58">
        <v>358</v>
      </c>
      <c r="F31" s="56">
        <v>330</v>
      </c>
      <c r="G31" s="57">
        <v>0</v>
      </c>
      <c r="H31" s="57">
        <v>89.31</v>
      </c>
      <c r="I31" s="57">
        <v>21</v>
      </c>
      <c r="J31" s="57">
        <v>180</v>
      </c>
      <c r="K31" s="56">
        <v>9</v>
      </c>
      <c r="L31" s="56">
        <v>490</v>
      </c>
      <c r="M31" s="98">
        <v>472</v>
      </c>
      <c r="N31" s="98">
        <v>4.5999999999999996</v>
      </c>
      <c r="O31" s="98">
        <v>42</v>
      </c>
      <c r="P31" s="98">
        <v>291</v>
      </c>
    </row>
    <row r="32" spans="1:16">
      <c r="A32" s="55" t="s">
        <v>408</v>
      </c>
      <c r="B32" s="55">
        <v>5706</v>
      </c>
      <c r="C32" s="56" t="s">
        <v>673</v>
      </c>
      <c r="D32" s="59">
        <v>4171.1930000000002</v>
      </c>
      <c r="E32" s="58">
        <v>149</v>
      </c>
      <c r="F32" s="56">
        <v>3</v>
      </c>
      <c r="G32" s="57">
        <v>0</v>
      </c>
      <c r="H32" s="57">
        <v>12.44</v>
      </c>
      <c r="I32" s="57">
        <v>31</v>
      </c>
      <c r="J32" s="57">
        <v>14</v>
      </c>
      <c r="K32" s="56">
        <v>0</v>
      </c>
      <c r="L32" s="56">
        <v>1132</v>
      </c>
      <c r="M32" s="98">
        <v>1068</v>
      </c>
      <c r="N32" s="98">
        <v>10.6</v>
      </c>
      <c r="O32" s="98">
        <v>28</v>
      </c>
      <c r="P32" s="98">
        <v>3501</v>
      </c>
    </row>
    <row r="33" spans="1:16">
      <c r="A33" s="55" t="s">
        <v>409</v>
      </c>
      <c r="B33" s="55">
        <v>5514</v>
      </c>
      <c r="C33" s="56" t="s">
        <v>673</v>
      </c>
      <c r="D33" s="59">
        <v>3605.7069999999999</v>
      </c>
      <c r="E33" s="58">
        <v>487</v>
      </c>
      <c r="F33" s="56">
        <v>143</v>
      </c>
      <c r="G33" s="57">
        <v>3</v>
      </c>
      <c r="H33" s="57">
        <v>278.3</v>
      </c>
      <c r="I33" s="57">
        <v>89</v>
      </c>
      <c r="J33" s="57">
        <v>110</v>
      </c>
      <c r="K33" s="56">
        <v>24</v>
      </c>
      <c r="L33" s="56">
        <v>1299</v>
      </c>
      <c r="M33" s="98">
        <v>1223</v>
      </c>
      <c r="N33" s="98">
        <v>5.2</v>
      </c>
      <c r="O33" s="98">
        <v>88</v>
      </c>
      <c r="P33" s="98">
        <v>5028</v>
      </c>
    </row>
    <row r="34" spans="1:16">
      <c r="A34" s="55" t="s">
        <v>410</v>
      </c>
      <c r="B34" s="55">
        <v>5426</v>
      </c>
      <c r="C34" s="56" t="s">
        <v>673</v>
      </c>
      <c r="D34" s="59">
        <v>0</v>
      </c>
      <c r="E34" s="58">
        <v>66</v>
      </c>
      <c r="F34" s="56">
        <v>42</v>
      </c>
      <c r="G34" s="57">
        <v>8</v>
      </c>
      <c r="H34" s="57">
        <v>0</v>
      </c>
      <c r="I34" s="57">
        <v>2</v>
      </c>
      <c r="J34" s="57">
        <v>8</v>
      </c>
      <c r="K34" s="56">
        <v>40</v>
      </c>
      <c r="L34" s="56">
        <v>475</v>
      </c>
      <c r="M34" s="98">
        <v>460</v>
      </c>
      <c r="N34" s="98">
        <v>17.100000000000001</v>
      </c>
      <c r="O34" s="98">
        <v>16</v>
      </c>
      <c r="P34" s="98">
        <v>8691</v>
      </c>
    </row>
    <row r="35" spans="1:16">
      <c r="A35" s="55" t="s">
        <v>411</v>
      </c>
      <c r="B35" s="55">
        <v>5661</v>
      </c>
      <c r="C35" s="56" t="s">
        <v>673</v>
      </c>
      <c r="D35" s="59">
        <v>1118.578</v>
      </c>
      <c r="E35" s="58">
        <v>207</v>
      </c>
      <c r="F35" s="56">
        <v>113</v>
      </c>
      <c r="G35" s="57">
        <v>364</v>
      </c>
      <c r="H35" s="57">
        <v>203.64</v>
      </c>
      <c r="I35" s="57">
        <v>19</v>
      </c>
      <c r="J35" s="57">
        <v>0</v>
      </c>
      <c r="K35" s="56">
        <v>2</v>
      </c>
      <c r="L35" s="56">
        <v>361</v>
      </c>
      <c r="M35" s="98">
        <v>338</v>
      </c>
      <c r="N35" s="98">
        <v>2.6</v>
      </c>
      <c r="O35" s="98">
        <v>31</v>
      </c>
      <c r="P35" s="98">
        <v>334</v>
      </c>
    </row>
    <row r="36" spans="1:16">
      <c r="A36" s="55" t="s">
        <v>666</v>
      </c>
      <c r="B36" s="55">
        <v>5613</v>
      </c>
      <c r="C36" s="56" t="s">
        <v>673</v>
      </c>
      <c r="D36" s="59">
        <v>23382.893</v>
      </c>
      <c r="E36" s="58">
        <v>586</v>
      </c>
      <c r="F36" s="56">
        <v>128</v>
      </c>
      <c r="G36" s="57">
        <v>2</v>
      </c>
      <c r="H36" s="57">
        <v>255.26</v>
      </c>
      <c r="I36" s="57">
        <v>23</v>
      </c>
      <c r="J36" s="57">
        <v>58</v>
      </c>
      <c r="K36" s="56">
        <v>5</v>
      </c>
      <c r="L36" s="56">
        <v>5345</v>
      </c>
      <c r="M36" s="98">
        <v>5116</v>
      </c>
      <c r="N36" s="98">
        <v>20.6</v>
      </c>
      <c r="O36" s="98">
        <v>793</v>
      </c>
      <c r="P36" s="98">
        <v>20763</v>
      </c>
    </row>
    <row r="37" spans="1:16">
      <c r="A37" s="55" t="s">
        <v>412</v>
      </c>
      <c r="B37" s="55">
        <v>5472</v>
      </c>
      <c r="C37" s="56" t="s">
        <v>673</v>
      </c>
      <c r="D37" s="59">
        <v>1521.8109999999999</v>
      </c>
      <c r="E37" s="58">
        <v>291</v>
      </c>
      <c r="F37" s="56">
        <v>63</v>
      </c>
      <c r="G37" s="57">
        <v>0</v>
      </c>
      <c r="H37" s="57">
        <v>80.010000000000005</v>
      </c>
      <c r="I37" s="57">
        <v>38</v>
      </c>
      <c r="J37" s="57">
        <v>30</v>
      </c>
      <c r="K37" s="56">
        <v>3</v>
      </c>
      <c r="L37" s="56">
        <v>422</v>
      </c>
      <c r="M37" s="98">
        <v>396</v>
      </c>
      <c r="N37" s="98">
        <v>0</v>
      </c>
      <c r="O37" s="98">
        <v>12</v>
      </c>
      <c r="P37" s="98">
        <v>12770</v>
      </c>
    </row>
    <row r="38" spans="1:16">
      <c r="A38" s="55" t="s">
        <v>413</v>
      </c>
      <c r="B38" s="55">
        <v>5473</v>
      </c>
      <c r="C38" s="56" t="s">
        <v>673</v>
      </c>
      <c r="D38" s="59">
        <v>2495.4780000000001</v>
      </c>
      <c r="E38" s="58">
        <v>241</v>
      </c>
      <c r="F38" s="56">
        <v>43</v>
      </c>
      <c r="G38" s="57">
        <v>2</v>
      </c>
      <c r="H38" s="57">
        <v>120.12</v>
      </c>
      <c r="I38" s="57">
        <v>0</v>
      </c>
      <c r="J38" s="57">
        <v>7</v>
      </c>
      <c r="K38" s="56">
        <v>1</v>
      </c>
      <c r="L38" s="56">
        <v>993</v>
      </c>
      <c r="M38" s="98">
        <v>924</v>
      </c>
      <c r="N38" s="98">
        <v>1.8</v>
      </c>
      <c r="O38" s="98">
        <v>55</v>
      </c>
      <c r="P38" s="98">
        <v>4443</v>
      </c>
    </row>
    <row r="39" spans="1:16">
      <c r="A39" s="55" t="s">
        <v>414</v>
      </c>
      <c r="B39" s="55">
        <v>5622</v>
      </c>
      <c r="C39" s="56" t="s">
        <v>673</v>
      </c>
      <c r="D39" s="59">
        <v>2492.2890000000002</v>
      </c>
      <c r="E39" s="58">
        <v>196</v>
      </c>
      <c r="F39" s="56">
        <v>59</v>
      </c>
      <c r="G39" s="57">
        <v>0</v>
      </c>
      <c r="H39" s="57">
        <v>85.49</v>
      </c>
      <c r="I39" s="57">
        <v>4</v>
      </c>
      <c r="J39" s="57">
        <v>1</v>
      </c>
      <c r="K39" s="56">
        <v>2</v>
      </c>
      <c r="L39" s="56">
        <v>577</v>
      </c>
      <c r="M39" s="98">
        <v>548</v>
      </c>
      <c r="N39" s="98">
        <v>15.6</v>
      </c>
      <c r="O39" s="98">
        <v>292</v>
      </c>
      <c r="P39" s="98">
        <v>3992</v>
      </c>
    </row>
    <row r="40" spans="1:16">
      <c r="A40" s="55" t="s">
        <v>665</v>
      </c>
      <c r="B40" s="55">
        <v>5515</v>
      </c>
      <c r="C40" s="56" t="s">
        <v>673</v>
      </c>
      <c r="D40" s="59">
        <v>2296.3110000000001</v>
      </c>
      <c r="E40" s="58">
        <v>183</v>
      </c>
      <c r="F40" s="56">
        <v>68</v>
      </c>
      <c r="G40" s="57">
        <v>0</v>
      </c>
      <c r="H40" s="57">
        <v>37.909999999999997</v>
      </c>
      <c r="I40" s="57">
        <v>62</v>
      </c>
      <c r="J40" s="57">
        <v>0</v>
      </c>
      <c r="K40" s="56">
        <v>0</v>
      </c>
      <c r="L40" s="56">
        <v>861</v>
      </c>
      <c r="M40" s="98">
        <v>793</v>
      </c>
      <c r="N40" s="98">
        <v>3.5</v>
      </c>
      <c r="O40" s="98">
        <v>143</v>
      </c>
      <c r="P40" s="98">
        <v>2175</v>
      </c>
    </row>
    <row r="41" spans="1:16">
      <c r="A41" s="55" t="s">
        <v>664</v>
      </c>
      <c r="B41" s="55">
        <v>5748</v>
      </c>
      <c r="C41" s="56" t="s">
        <v>673</v>
      </c>
      <c r="D41" s="59">
        <v>740.62099999999998</v>
      </c>
      <c r="E41" s="58">
        <v>238</v>
      </c>
      <c r="F41" s="56">
        <v>258</v>
      </c>
      <c r="G41" s="57">
        <v>0</v>
      </c>
      <c r="H41" s="57">
        <v>242.11</v>
      </c>
      <c r="I41" s="57">
        <v>9</v>
      </c>
      <c r="J41" s="57">
        <v>41</v>
      </c>
      <c r="K41" s="56">
        <v>14</v>
      </c>
      <c r="L41" s="56">
        <v>269</v>
      </c>
      <c r="M41" s="98">
        <v>253</v>
      </c>
      <c r="N41" s="98">
        <v>1.9</v>
      </c>
      <c r="O41" s="98">
        <v>9</v>
      </c>
      <c r="P41" s="98">
        <v>54</v>
      </c>
    </row>
    <row r="42" spans="1:16">
      <c r="A42" s="55" t="s">
        <v>415</v>
      </c>
      <c r="B42" s="55">
        <v>5623</v>
      </c>
      <c r="C42" s="56" t="s">
        <v>673</v>
      </c>
      <c r="D42" s="59">
        <v>3618.6390000000001</v>
      </c>
      <c r="E42" s="58">
        <v>85</v>
      </c>
      <c r="F42" s="56">
        <v>67</v>
      </c>
      <c r="G42" s="57">
        <v>0</v>
      </c>
      <c r="H42" s="57">
        <v>0</v>
      </c>
      <c r="I42" s="57">
        <v>0</v>
      </c>
      <c r="J42" s="57">
        <v>0</v>
      </c>
      <c r="K42" s="56">
        <v>0</v>
      </c>
      <c r="L42" s="56">
        <v>686</v>
      </c>
      <c r="M42" s="98">
        <v>650</v>
      </c>
      <c r="N42" s="98">
        <v>9</v>
      </c>
      <c r="O42" s="98">
        <v>39</v>
      </c>
      <c r="P42" s="98">
        <v>6002</v>
      </c>
    </row>
    <row r="43" spans="1:16">
      <c r="A43" s="55" t="s">
        <v>416</v>
      </c>
      <c r="B43" s="55">
        <v>5552</v>
      </c>
      <c r="C43" s="56" t="s">
        <v>673</v>
      </c>
      <c r="D43" s="59">
        <v>3379.7429999999999</v>
      </c>
      <c r="E43" s="58">
        <v>815</v>
      </c>
      <c r="F43" s="56">
        <v>768</v>
      </c>
      <c r="G43" s="57">
        <v>17</v>
      </c>
      <c r="H43" s="57">
        <v>358.46</v>
      </c>
      <c r="I43" s="57">
        <v>24</v>
      </c>
      <c r="J43" s="57">
        <v>0</v>
      </c>
      <c r="K43" s="56">
        <v>1</v>
      </c>
      <c r="L43" s="56">
        <v>657</v>
      </c>
      <c r="M43" s="98">
        <v>632</v>
      </c>
      <c r="N43" s="98">
        <v>31.1</v>
      </c>
      <c r="O43" s="98">
        <v>62</v>
      </c>
      <c r="P43" s="98">
        <v>4153</v>
      </c>
    </row>
    <row r="44" spans="1:16">
      <c r="A44" s="55" t="s">
        <v>417</v>
      </c>
      <c r="B44" s="55">
        <v>5852</v>
      </c>
      <c r="C44" s="56" t="s">
        <v>673</v>
      </c>
      <c r="D44" s="59">
        <v>2926.5169999999998</v>
      </c>
      <c r="E44" s="58">
        <v>126</v>
      </c>
      <c r="F44" s="56">
        <v>18</v>
      </c>
      <c r="G44" s="57">
        <v>0</v>
      </c>
      <c r="H44" s="57">
        <v>0</v>
      </c>
      <c r="I44" s="57">
        <v>41</v>
      </c>
      <c r="J44" s="57">
        <v>0</v>
      </c>
      <c r="K44" s="56">
        <v>0</v>
      </c>
      <c r="L44" s="56">
        <v>473</v>
      </c>
      <c r="M44" s="98">
        <v>459</v>
      </c>
      <c r="N44" s="98">
        <v>12</v>
      </c>
      <c r="O44" s="98">
        <v>27</v>
      </c>
      <c r="P44" s="98">
        <v>6093</v>
      </c>
    </row>
    <row r="45" spans="1:16">
      <c r="A45" s="55" t="s">
        <v>418</v>
      </c>
      <c r="B45" s="55">
        <v>5853</v>
      </c>
      <c r="C45" s="56" t="s">
        <v>673</v>
      </c>
      <c r="D45" s="59">
        <v>4968.643</v>
      </c>
      <c r="E45" s="58">
        <v>183</v>
      </c>
      <c r="F45" s="56">
        <v>111</v>
      </c>
      <c r="G45" s="57">
        <v>30</v>
      </c>
      <c r="H45" s="57">
        <v>142.91999999999999</v>
      </c>
      <c r="I45" s="57">
        <v>5</v>
      </c>
      <c r="J45" s="57">
        <v>2</v>
      </c>
      <c r="K45" s="56">
        <v>2</v>
      </c>
      <c r="L45" s="56">
        <v>782</v>
      </c>
      <c r="M45" s="98">
        <v>732</v>
      </c>
      <c r="N45" s="98">
        <v>37.4</v>
      </c>
      <c r="O45" s="98">
        <v>259</v>
      </c>
      <c r="P45" s="98">
        <v>3300</v>
      </c>
    </row>
    <row r="46" spans="1:16">
      <c r="A46" s="55" t="s">
        <v>419</v>
      </c>
      <c r="B46" s="55">
        <v>5854</v>
      </c>
      <c r="C46" s="56" t="s">
        <v>673</v>
      </c>
      <c r="D46" s="59">
        <v>1170.4069999999999</v>
      </c>
      <c r="E46" s="58">
        <v>328</v>
      </c>
      <c r="F46" s="56">
        <v>197</v>
      </c>
      <c r="G46" s="57">
        <v>0</v>
      </c>
      <c r="H46" s="57">
        <v>269.24</v>
      </c>
      <c r="I46" s="57">
        <v>46</v>
      </c>
      <c r="J46" s="57">
        <v>21</v>
      </c>
      <c r="K46" s="56">
        <v>13</v>
      </c>
      <c r="L46" s="56">
        <v>390</v>
      </c>
      <c r="M46" s="98">
        <v>374</v>
      </c>
      <c r="N46" s="98">
        <v>6</v>
      </c>
      <c r="O46" s="98">
        <v>24</v>
      </c>
      <c r="P46" s="98">
        <v>1103</v>
      </c>
    </row>
    <row r="47" spans="1:16">
      <c r="A47" s="55" t="s">
        <v>420</v>
      </c>
      <c r="B47" s="55">
        <v>5624</v>
      </c>
      <c r="C47" s="56" t="s">
        <v>676</v>
      </c>
      <c r="D47" s="59">
        <v>0</v>
      </c>
      <c r="E47" s="58">
        <v>152</v>
      </c>
      <c r="F47" s="56">
        <v>82</v>
      </c>
      <c r="G47" s="57">
        <v>0</v>
      </c>
      <c r="H47" s="57">
        <v>10.26</v>
      </c>
      <c r="I47" s="57">
        <v>4</v>
      </c>
      <c r="J47" s="57">
        <v>19</v>
      </c>
      <c r="K47" s="56">
        <v>0</v>
      </c>
      <c r="L47" s="56">
        <v>8962</v>
      </c>
      <c r="M47" s="98">
        <v>8416</v>
      </c>
      <c r="N47" s="98">
        <v>426.7</v>
      </c>
      <c r="O47" s="98">
        <v>4368</v>
      </c>
      <c r="P47" s="98">
        <v>113741</v>
      </c>
    </row>
    <row r="48" spans="1:16">
      <c r="A48" s="55" t="s">
        <v>663</v>
      </c>
      <c r="B48" s="55">
        <v>5663</v>
      </c>
      <c r="C48" s="56" t="s">
        <v>673</v>
      </c>
      <c r="D48" s="59">
        <v>782.81100000000004</v>
      </c>
      <c r="E48" s="58">
        <v>220</v>
      </c>
      <c r="F48" s="56">
        <v>70</v>
      </c>
      <c r="G48" s="57">
        <v>285</v>
      </c>
      <c r="H48" s="57">
        <v>80.11</v>
      </c>
      <c r="I48" s="57">
        <v>28</v>
      </c>
      <c r="J48" s="57">
        <v>29</v>
      </c>
      <c r="K48" s="56">
        <v>0</v>
      </c>
      <c r="L48" s="56">
        <v>218</v>
      </c>
      <c r="M48" s="98">
        <v>206</v>
      </c>
      <c r="N48" s="98">
        <v>0</v>
      </c>
      <c r="O48" s="98">
        <v>7</v>
      </c>
      <c r="P48" s="98">
        <v>820</v>
      </c>
    </row>
    <row r="49" spans="1:16">
      <c r="A49" s="55" t="s">
        <v>422</v>
      </c>
      <c r="B49" s="55">
        <v>5904</v>
      </c>
      <c r="C49" s="56" t="s">
        <v>673</v>
      </c>
      <c r="D49" s="59">
        <v>2840.5709999999999</v>
      </c>
      <c r="E49" s="58">
        <v>144</v>
      </c>
      <c r="F49" s="56">
        <v>71</v>
      </c>
      <c r="G49" s="57">
        <v>0</v>
      </c>
      <c r="H49" s="57">
        <v>0</v>
      </c>
      <c r="I49" s="57">
        <v>2</v>
      </c>
      <c r="J49" s="57">
        <v>11</v>
      </c>
      <c r="K49" s="56">
        <v>0</v>
      </c>
      <c r="L49" s="56">
        <v>540</v>
      </c>
      <c r="M49" s="98">
        <v>513</v>
      </c>
      <c r="N49" s="98">
        <v>13.8</v>
      </c>
      <c r="O49" s="98">
        <v>88</v>
      </c>
      <c r="P49" s="98">
        <v>2945</v>
      </c>
    </row>
    <row r="50" spans="1:16">
      <c r="A50" s="55" t="s">
        <v>423</v>
      </c>
      <c r="B50" s="55">
        <v>5553</v>
      </c>
      <c r="C50" s="56" t="s">
        <v>673</v>
      </c>
      <c r="D50" s="59">
        <v>13042.614</v>
      </c>
      <c r="E50" s="58">
        <v>197</v>
      </c>
      <c r="F50" s="56">
        <v>138</v>
      </c>
      <c r="G50" s="57">
        <v>1</v>
      </c>
      <c r="H50" s="57">
        <v>78.180000000000007</v>
      </c>
      <c r="I50" s="57">
        <v>2</v>
      </c>
      <c r="J50" s="57">
        <v>0</v>
      </c>
      <c r="K50" s="56">
        <v>0</v>
      </c>
      <c r="L50" s="56">
        <v>1059</v>
      </c>
      <c r="M50" s="98">
        <v>1007</v>
      </c>
      <c r="N50" s="98">
        <v>57.8</v>
      </c>
      <c r="O50" s="98">
        <v>250</v>
      </c>
      <c r="P50" s="98">
        <v>3419</v>
      </c>
    </row>
    <row r="51" spans="1:16">
      <c r="A51" s="55" t="s">
        <v>424</v>
      </c>
      <c r="B51" s="55">
        <v>5812</v>
      </c>
      <c r="C51" s="56" t="s">
        <v>673</v>
      </c>
      <c r="D51" s="59">
        <v>511.02100000000002</v>
      </c>
      <c r="E51" s="58">
        <v>226</v>
      </c>
      <c r="F51" s="56">
        <v>59</v>
      </c>
      <c r="G51" s="57">
        <v>0</v>
      </c>
      <c r="H51" s="57">
        <v>145.15</v>
      </c>
      <c r="I51" s="57">
        <v>0</v>
      </c>
      <c r="J51" s="57">
        <v>0</v>
      </c>
      <c r="K51" s="56">
        <v>700</v>
      </c>
      <c r="L51" s="56">
        <v>130</v>
      </c>
      <c r="M51" s="98">
        <v>122</v>
      </c>
      <c r="N51" s="98">
        <v>0</v>
      </c>
      <c r="O51" s="98">
        <v>8</v>
      </c>
      <c r="P51" s="98">
        <v>1948</v>
      </c>
    </row>
    <row r="52" spans="1:16">
      <c r="A52" s="55" t="s">
        <v>425</v>
      </c>
      <c r="B52" s="55">
        <v>5905</v>
      </c>
      <c r="C52" s="56" t="s">
        <v>673</v>
      </c>
      <c r="D52" s="59">
        <v>5810.2830000000004</v>
      </c>
      <c r="E52" s="58">
        <v>626</v>
      </c>
      <c r="F52" s="56">
        <v>216</v>
      </c>
      <c r="G52" s="57">
        <v>10</v>
      </c>
      <c r="H52" s="57">
        <v>376.62</v>
      </c>
      <c r="I52" s="57">
        <v>19</v>
      </c>
      <c r="J52" s="57">
        <v>6</v>
      </c>
      <c r="K52" s="56">
        <v>2</v>
      </c>
      <c r="L52" s="56">
        <v>689</v>
      </c>
      <c r="M52" s="98">
        <v>645</v>
      </c>
      <c r="N52" s="98">
        <v>57.8</v>
      </c>
      <c r="O52" s="98">
        <v>197</v>
      </c>
      <c r="P52" s="98">
        <v>2486</v>
      </c>
    </row>
    <row r="53" spans="1:16">
      <c r="A53" s="55" t="s">
        <v>426</v>
      </c>
      <c r="B53" s="55">
        <v>5882</v>
      </c>
      <c r="C53" s="56" t="s">
        <v>676</v>
      </c>
      <c r="D53" s="59">
        <v>11093.357</v>
      </c>
      <c r="E53" s="58">
        <v>471</v>
      </c>
      <c r="F53" s="56">
        <v>379</v>
      </c>
      <c r="G53" s="57">
        <v>0</v>
      </c>
      <c r="H53" s="57">
        <v>300.52</v>
      </c>
      <c r="I53" s="57">
        <v>24</v>
      </c>
      <c r="J53" s="57">
        <v>53</v>
      </c>
      <c r="K53" s="56">
        <v>1</v>
      </c>
      <c r="L53" s="56">
        <v>3032</v>
      </c>
      <c r="M53" s="98">
        <v>2889</v>
      </c>
      <c r="N53" s="98">
        <v>10.7</v>
      </c>
      <c r="O53" s="98">
        <v>375</v>
      </c>
      <c r="P53" s="98">
        <v>16960</v>
      </c>
    </row>
    <row r="54" spans="1:16">
      <c r="A54" s="55" t="s">
        <v>681</v>
      </c>
      <c r="B54" s="55">
        <v>5841</v>
      </c>
      <c r="C54" s="56" t="s">
        <v>677</v>
      </c>
      <c r="D54" s="59">
        <v>0</v>
      </c>
      <c r="E54" s="58">
        <v>5023</v>
      </c>
      <c r="F54" s="56">
        <v>4146</v>
      </c>
      <c r="G54" s="57">
        <v>91</v>
      </c>
      <c r="H54" s="57">
        <v>2346.2199999999998</v>
      </c>
      <c r="I54" s="57">
        <v>63</v>
      </c>
      <c r="J54" s="57">
        <v>118</v>
      </c>
      <c r="K54" s="56">
        <v>70</v>
      </c>
      <c r="L54" s="56">
        <v>3468</v>
      </c>
      <c r="M54" s="98">
        <v>3299</v>
      </c>
      <c r="N54" s="98">
        <v>6.6</v>
      </c>
      <c r="O54" s="98">
        <v>364</v>
      </c>
      <c r="P54" s="98">
        <v>12287</v>
      </c>
    </row>
    <row r="55" spans="1:16">
      <c r="A55" s="55" t="s">
        <v>662</v>
      </c>
      <c r="B55" s="55">
        <v>5707</v>
      </c>
      <c r="C55" s="56" t="s">
        <v>673</v>
      </c>
      <c r="D55" s="59">
        <v>13458.471</v>
      </c>
      <c r="E55" s="58">
        <v>164</v>
      </c>
      <c r="F55" s="56">
        <v>34</v>
      </c>
      <c r="G55" s="57">
        <v>0</v>
      </c>
      <c r="H55" s="57">
        <v>61.09</v>
      </c>
      <c r="I55" s="57">
        <v>40</v>
      </c>
      <c r="J55" s="57">
        <v>0</v>
      </c>
      <c r="K55" s="56">
        <v>0</v>
      </c>
      <c r="L55" s="56">
        <v>1357</v>
      </c>
      <c r="M55" s="98">
        <v>1284</v>
      </c>
      <c r="N55" s="98">
        <v>536.79999999999995</v>
      </c>
      <c r="O55" s="98">
        <v>503</v>
      </c>
      <c r="P55" s="98">
        <v>3857</v>
      </c>
    </row>
    <row r="56" spans="1:16">
      <c r="A56" s="55" t="s">
        <v>661</v>
      </c>
      <c r="B56" s="55">
        <v>5708</v>
      </c>
      <c r="C56" s="56" t="s">
        <v>673</v>
      </c>
      <c r="D56" s="59">
        <v>3643.8939999999998</v>
      </c>
      <c r="E56" s="58">
        <v>105</v>
      </c>
      <c r="F56" s="56">
        <v>78</v>
      </c>
      <c r="G56" s="57">
        <v>0</v>
      </c>
      <c r="H56" s="57">
        <v>0</v>
      </c>
      <c r="I56" s="57">
        <v>92</v>
      </c>
      <c r="J56" s="57">
        <v>0</v>
      </c>
      <c r="K56" s="56">
        <v>0</v>
      </c>
      <c r="L56" s="56">
        <v>960</v>
      </c>
      <c r="M56" s="98">
        <v>891</v>
      </c>
      <c r="N56" s="98">
        <v>7.8</v>
      </c>
      <c r="O56" s="98">
        <v>17</v>
      </c>
      <c r="P56" s="98">
        <v>6252</v>
      </c>
    </row>
    <row r="57" spans="1:16">
      <c r="A57" s="55" t="s">
        <v>660</v>
      </c>
      <c r="B57" s="55">
        <v>5907</v>
      </c>
      <c r="C57" s="56" t="s">
        <v>673</v>
      </c>
      <c r="D57" s="59">
        <v>895.178</v>
      </c>
      <c r="E57" s="58">
        <v>330</v>
      </c>
      <c r="F57" s="56">
        <v>42</v>
      </c>
      <c r="G57" s="57">
        <v>1</v>
      </c>
      <c r="H57" s="57">
        <v>125.34</v>
      </c>
      <c r="I57" s="57">
        <v>12</v>
      </c>
      <c r="J57" s="57">
        <v>19</v>
      </c>
      <c r="K57" s="56">
        <v>22</v>
      </c>
      <c r="L57" s="56">
        <v>311</v>
      </c>
      <c r="M57" s="98">
        <v>297</v>
      </c>
      <c r="N57" s="98">
        <v>1.8</v>
      </c>
      <c r="O57" s="98">
        <v>13</v>
      </c>
      <c r="P57" s="98">
        <v>1667</v>
      </c>
    </row>
    <row r="58" spans="1:16">
      <c r="A58" s="55" t="s">
        <v>659</v>
      </c>
      <c r="B58" s="55">
        <v>5475</v>
      </c>
      <c r="C58" s="56" t="s">
        <v>673</v>
      </c>
      <c r="D58" s="59">
        <v>463.88299999999998</v>
      </c>
      <c r="E58" s="58">
        <v>180</v>
      </c>
      <c r="F58" s="56">
        <v>66</v>
      </c>
      <c r="G58" s="57">
        <v>0</v>
      </c>
      <c r="H58" s="57">
        <v>220.99</v>
      </c>
      <c r="I58" s="57">
        <v>0</v>
      </c>
      <c r="J58" s="57">
        <v>9</v>
      </c>
      <c r="K58" s="56">
        <v>1</v>
      </c>
      <c r="L58" s="56">
        <v>152</v>
      </c>
      <c r="M58" s="98">
        <v>139</v>
      </c>
      <c r="N58" s="98">
        <v>0</v>
      </c>
      <c r="O58" s="98">
        <v>7</v>
      </c>
      <c r="P58" s="98">
        <v>1148</v>
      </c>
    </row>
    <row r="59" spans="1:16">
      <c r="A59" s="55" t="s">
        <v>682</v>
      </c>
      <c r="B59" s="55">
        <v>5627</v>
      </c>
      <c r="C59" s="56" t="s">
        <v>678</v>
      </c>
      <c r="D59" s="59">
        <v>0</v>
      </c>
      <c r="E59" s="58">
        <v>29</v>
      </c>
      <c r="F59" s="56">
        <v>16</v>
      </c>
      <c r="G59" s="57">
        <v>0</v>
      </c>
      <c r="H59" s="57">
        <v>0</v>
      </c>
      <c r="I59" s="57">
        <v>0</v>
      </c>
      <c r="J59" s="57">
        <v>54</v>
      </c>
      <c r="K59" s="56">
        <v>0</v>
      </c>
      <c r="L59" s="56">
        <v>7887</v>
      </c>
      <c r="M59" s="98">
        <v>7386</v>
      </c>
      <c r="N59" s="98">
        <v>41.2</v>
      </c>
      <c r="O59" s="98">
        <v>2964</v>
      </c>
      <c r="P59" s="98">
        <v>84938</v>
      </c>
    </row>
    <row r="60" spans="1:16">
      <c r="A60" s="55" t="s">
        <v>658</v>
      </c>
      <c r="B60" s="55">
        <v>5665</v>
      </c>
      <c r="C60" s="56" t="s">
        <v>673</v>
      </c>
      <c r="D60" s="59">
        <v>844.2</v>
      </c>
      <c r="E60" s="58">
        <v>382</v>
      </c>
      <c r="F60" s="56">
        <v>100</v>
      </c>
      <c r="G60" s="57">
        <v>39</v>
      </c>
      <c r="H60" s="57">
        <v>378.8</v>
      </c>
      <c r="I60" s="57">
        <v>4</v>
      </c>
      <c r="J60" s="57">
        <v>54</v>
      </c>
      <c r="K60" s="56">
        <v>12</v>
      </c>
      <c r="L60" s="56">
        <v>210</v>
      </c>
      <c r="M60" s="98">
        <v>201</v>
      </c>
      <c r="N60" s="98">
        <v>0</v>
      </c>
      <c r="O60" s="98">
        <v>7</v>
      </c>
      <c r="P60" s="98">
        <v>950</v>
      </c>
    </row>
    <row r="61" spans="1:16">
      <c r="A61" s="55" t="s">
        <v>427</v>
      </c>
      <c r="B61" s="55">
        <v>5749</v>
      </c>
      <c r="C61" s="56" t="s">
        <v>676</v>
      </c>
      <c r="D61" s="59">
        <v>23656.420999999998</v>
      </c>
      <c r="E61" s="58">
        <v>1286</v>
      </c>
      <c r="F61" s="56">
        <v>355</v>
      </c>
      <c r="G61" s="57">
        <v>2723</v>
      </c>
      <c r="H61" s="57">
        <v>401.98</v>
      </c>
      <c r="I61" s="57">
        <v>35</v>
      </c>
      <c r="J61" s="57">
        <v>117</v>
      </c>
      <c r="K61" s="56">
        <v>10</v>
      </c>
      <c r="L61" s="56">
        <v>5135</v>
      </c>
      <c r="M61" s="98">
        <v>4790</v>
      </c>
      <c r="N61" s="98">
        <v>177.6</v>
      </c>
      <c r="O61" s="98">
        <v>787</v>
      </c>
      <c r="P61" s="98">
        <v>29269</v>
      </c>
    </row>
    <row r="62" spans="1:16">
      <c r="A62" s="55" t="s">
        <v>657</v>
      </c>
      <c r="B62" s="55">
        <v>5908</v>
      </c>
      <c r="C62" s="56" t="s">
        <v>673</v>
      </c>
      <c r="D62" s="59">
        <v>299.92899999999997</v>
      </c>
      <c r="E62" s="58">
        <v>147</v>
      </c>
      <c r="F62" s="56">
        <v>50</v>
      </c>
      <c r="G62" s="57">
        <v>0</v>
      </c>
      <c r="H62" s="57">
        <v>26.26</v>
      </c>
      <c r="I62" s="57">
        <v>2</v>
      </c>
      <c r="J62" s="57">
        <v>12</v>
      </c>
      <c r="K62" s="56">
        <v>0</v>
      </c>
      <c r="L62" s="56">
        <v>153</v>
      </c>
      <c r="M62" s="98">
        <v>144</v>
      </c>
      <c r="N62" s="98">
        <v>0</v>
      </c>
      <c r="O62" s="98">
        <v>18</v>
      </c>
      <c r="P62" s="98">
        <v>807</v>
      </c>
    </row>
    <row r="63" spans="1:16">
      <c r="A63" s="55" t="s">
        <v>656</v>
      </c>
      <c r="B63" s="55">
        <v>5909</v>
      </c>
      <c r="C63" s="56" t="s">
        <v>676</v>
      </c>
      <c r="D63" s="59">
        <v>3256.75</v>
      </c>
      <c r="E63" s="58">
        <v>151</v>
      </c>
      <c r="F63" s="56">
        <v>310</v>
      </c>
      <c r="G63" s="57">
        <v>0</v>
      </c>
      <c r="H63" s="57">
        <v>71.08</v>
      </c>
      <c r="I63" s="57">
        <v>2</v>
      </c>
      <c r="J63" s="57">
        <v>23</v>
      </c>
      <c r="K63" s="56">
        <v>0</v>
      </c>
      <c r="L63" s="56">
        <v>725</v>
      </c>
      <c r="M63" s="98">
        <v>694</v>
      </c>
      <c r="N63" s="98">
        <v>1.7</v>
      </c>
      <c r="O63" s="98">
        <v>193</v>
      </c>
      <c r="P63" s="98">
        <v>1833</v>
      </c>
    </row>
    <row r="64" spans="1:16">
      <c r="A64" s="55" t="s">
        <v>655</v>
      </c>
      <c r="B64" s="55">
        <v>5582</v>
      </c>
      <c r="C64" s="56" t="s">
        <v>676</v>
      </c>
      <c r="D64" s="59">
        <v>24248.986000000001</v>
      </c>
      <c r="E64" s="58">
        <v>259</v>
      </c>
      <c r="F64" s="56">
        <v>66</v>
      </c>
      <c r="G64" s="57">
        <v>346</v>
      </c>
      <c r="H64" s="57">
        <v>121.22</v>
      </c>
      <c r="I64" s="57">
        <v>64</v>
      </c>
      <c r="J64" s="57">
        <v>4</v>
      </c>
      <c r="K64" s="56">
        <v>0</v>
      </c>
      <c r="L64" s="56">
        <v>4339</v>
      </c>
      <c r="M64" s="98">
        <v>4120</v>
      </c>
      <c r="N64" s="98">
        <v>140.1</v>
      </c>
      <c r="O64" s="98">
        <v>1486</v>
      </c>
      <c r="P64" s="98">
        <v>11101</v>
      </c>
    </row>
    <row r="65" spans="1:16">
      <c r="A65" s="55" t="s">
        <v>654</v>
      </c>
      <c r="B65" s="55">
        <v>5709</v>
      </c>
      <c r="C65" s="56" t="s">
        <v>673</v>
      </c>
      <c r="D65" s="59">
        <v>6453.3609999999999</v>
      </c>
      <c r="E65" s="58">
        <v>378</v>
      </c>
      <c r="F65" s="56">
        <v>522</v>
      </c>
      <c r="G65" s="57">
        <v>0</v>
      </c>
      <c r="H65" s="57">
        <v>82.9</v>
      </c>
      <c r="I65" s="57">
        <v>54</v>
      </c>
      <c r="J65" s="57">
        <v>42</v>
      </c>
      <c r="K65" s="56">
        <v>0</v>
      </c>
      <c r="L65" s="56">
        <v>1238</v>
      </c>
      <c r="M65" s="98">
        <v>1186</v>
      </c>
      <c r="N65" s="98">
        <v>35.799999999999997</v>
      </c>
      <c r="O65" s="98">
        <v>70</v>
      </c>
      <c r="P65" s="98">
        <v>5861</v>
      </c>
    </row>
    <row r="66" spans="1:16">
      <c r="A66" s="55" t="s">
        <v>428</v>
      </c>
      <c r="B66" s="55">
        <v>5403</v>
      </c>
      <c r="C66" s="56" t="s">
        <v>673</v>
      </c>
      <c r="D66" s="59">
        <v>1512.1610000000001</v>
      </c>
      <c r="E66" s="58">
        <v>209</v>
      </c>
      <c r="F66" s="56">
        <v>74</v>
      </c>
      <c r="G66" s="57">
        <v>0</v>
      </c>
      <c r="H66" s="57">
        <v>97.93</v>
      </c>
      <c r="I66" s="57">
        <v>33</v>
      </c>
      <c r="J66" s="57">
        <v>11</v>
      </c>
      <c r="K66" s="56">
        <v>2</v>
      </c>
      <c r="L66" s="56">
        <v>429</v>
      </c>
      <c r="M66" s="98">
        <v>413</v>
      </c>
      <c r="N66" s="98">
        <v>1.6</v>
      </c>
      <c r="O66" s="98">
        <v>60</v>
      </c>
      <c r="P66" s="98">
        <v>2560</v>
      </c>
    </row>
    <row r="67" spans="1:16">
      <c r="A67" s="55" t="s">
        <v>429</v>
      </c>
      <c r="B67" s="55">
        <v>5476</v>
      </c>
      <c r="C67" s="56" t="s">
        <v>673</v>
      </c>
      <c r="D67" s="59">
        <v>869.75</v>
      </c>
      <c r="E67" s="58">
        <v>291</v>
      </c>
      <c r="F67" s="56">
        <v>71</v>
      </c>
      <c r="G67" s="57">
        <v>0</v>
      </c>
      <c r="H67" s="57">
        <v>112.1</v>
      </c>
      <c r="I67" s="57">
        <v>12</v>
      </c>
      <c r="J67" s="57">
        <v>8</v>
      </c>
      <c r="K67" s="56">
        <v>0</v>
      </c>
      <c r="L67" s="56">
        <v>317</v>
      </c>
      <c r="M67" s="98">
        <v>299</v>
      </c>
      <c r="N67" s="98">
        <v>0</v>
      </c>
      <c r="O67" s="98">
        <v>4</v>
      </c>
      <c r="P67" s="98">
        <v>590</v>
      </c>
    </row>
    <row r="68" spans="1:16">
      <c r="A68" s="55" t="s">
        <v>430</v>
      </c>
      <c r="B68" s="55">
        <v>5813</v>
      </c>
      <c r="C68" s="56" t="s">
        <v>673</v>
      </c>
      <c r="D68" s="59">
        <v>0</v>
      </c>
      <c r="E68" s="58">
        <v>207</v>
      </c>
      <c r="F68" s="56">
        <v>80</v>
      </c>
      <c r="G68" s="57">
        <v>4</v>
      </c>
      <c r="H68" s="57">
        <v>72.39</v>
      </c>
      <c r="I68" s="57">
        <v>21</v>
      </c>
      <c r="J68" s="57">
        <v>5</v>
      </c>
      <c r="K68" s="56">
        <v>2</v>
      </c>
      <c r="L68" s="56">
        <v>492</v>
      </c>
      <c r="M68" s="98">
        <v>464</v>
      </c>
      <c r="N68" s="98">
        <v>0.9</v>
      </c>
      <c r="O68" s="98">
        <v>54</v>
      </c>
      <c r="P68" s="98">
        <v>2139</v>
      </c>
    </row>
    <row r="69" spans="1:16">
      <c r="A69" s="55" t="s">
        <v>431</v>
      </c>
      <c r="B69" s="55">
        <v>5601</v>
      </c>
      <c r="C69" s="56" t="s">
        <v>675</v>
      </c>
      <c r="D69" s="59">
        <v>6459.6859999999997</v>
      </c>
      <c r="E69" s="58">
        <v>112</v>
      </c>
      <c r="F69" s="56">
        <v>36</v>
      </c>
      <c r="G69" s="57">
        <v>0</v>
      </c>
      <c r="H69" s="57">
        <v>74.87</v>
      </c>
      <c r="I69" s="57">
        <v>3</v>
      </c>
      <c r="J69" s="57">
        <v>42</v>
      </c>
      <c r="K69" s="56">
        <v>0</v>
      </c>
      <c r="L69" s="56">
        <v>2235</v>
      </c>
      <c r="M69" s="98">
        <v>2126</v>
      </c>
      <c r="N69" s="98">
        <v>36.299999999999997</v>
      </c>
      <c r="O69" s="98">
        <v>506</v>
      </c>
      <c r="P69" s="98">
        <v>5153</v>
      </c>
    </row>
    <row r="70" spans="1:16">
      <c r="A70" s="55" t="s">
        <v>432</v>
      </c>
      <c r="B70" s="55">
        <v>5628</v>
      </c>
      <c r="C70" s="56" t="s">
        <v>673</v>
      </c>
      <c r="D70" s="59">
        <v>1303.2639999999999</v>
      </c>
      <c r="E70" s="58">
        <v>63</v>
      </c>
      <c r="F70" s="56">
        <v>5</v>
      </c>
      <c r="G70" s="57">
        <v>0</v>
      </c>
      <c r="H70" s="57">
        <v>0</v>
      </c>
      <c r="I70" s="57">
        <v>20</v>
      </c>
      <c r="J70" s="57">
        <v>0</v>
      </c>
      <c r="K70" s="56">
        <v>0</v>
      </c>
      <c r="L70" s="56">
        <v>382</v>
      </c>
      <c r="M70" s="98">
        <v>351</v>
      </c>
      <c r="N70" s="98">
        <v>6.6</v>
      </c>
      <c r="O70" s="98">
        <v>16</v>
      </c>
      <c r="P70" s="98">
        <v>5437</v>
      </c>
    </row>
    <row r="71" spans="1:16">
      <c r="A71" s="55" t="s">
        <v>238</v>
      </c>
      <c r="B71" s="55">
        <v>5629</v>
      </c>
      <c r="C71" s="56" t="s">
        <v>673</v>
      </c>
      <c r="D71" s="59">
        <v>419.64400000000001</v>
      </c>
      <c r="E71" s="58">
        <v>83</v>
      </c>
      <c r="F71" s="56">
        <v>11</v>
      </c>
      <c r="G71" s="57">
        <v>3</v>
      </c>
      <c r="H71" s="57">
        <v>247.82</v>
      </c>
      <c r="I71" s="57">
        <v>12</v>
      </c>
      <c r="J71" s="57">
        <v>69</v>
      </c>
      <c r="K71" s="56">
        <v>3</v>
      </c>
      <c r="L71" s="56">
        <v>191</v>
      </c>
      <c r="M71" s="98">
        <v>174</v>
      </c>
      <c r="N71" s="98">
        <v>0</v>
      </c>
      <c r="O71" s="98">
        <v>3</v>
      </c>
      <c r="P71" s="98">
        <v>3131</v>
      </c>
    </row>
    <row r="72" spans="1:16">
      <c r="A72" s="55" t="s">
        <v>433</v>
      </c>
      <c r="B72" s="55">
        <v>5710</v>
      </c>
      <c r="C72" s="56" t="s">
        <v>673</v>
      </c>
      <c r="D72" s="59">
        <v>0</v>
      </c>
      <c r="E72" s="58">
        <v>208</v>
      </c>
      <c r="F72" s="56">
        <v>45</v>
      </c>
      <c r="G72" s="57">
        <v>0</v>
      </c>
      <c r="H72" s="57">
        <v>80.290000000000006</v>
      </c>
      <c r="I72" s="57">
        <v>36</v>
      </c>
      <c r="J72" s="57">
        <v>113</v>
      </c>
      <c r="K72" s="56">
        <v>0</v>
      </c>
      <c r="L72" s="56">
        <v>494</v>
      </c>
      <c r="M72" s="98">
        <v>471</v>
      </c>
      <c r="N72" s="98">
        <v>51.9</v>
      </c>
      <c r="O72" s="98">
        <v>116</v>
      </c>
      <c r="P72" s="98">
        <v>1070</v>
      </c>
    </row>
    <row r="73" spans="1:16">
      <c r="A73" s="55" t="s">
        <v>434</v>
      </c>
      <c r="B73" s="55">
        <v>5711</v>
      </c>
      <c r="C73" s="56" t="s">
        <v>673</v>
      </c>
      <c r="D73" s="59">
        <v>15139.311</v>
      </c>
      <c r="E73" s="58">
        <v>384</v>
      </c>
      <c r="F73" s="56">
        <v>128</v>
      </c>
      <c r="G73" s="57">
        <v>0</v>
      </c>
      <c r="H73" s="57">
        <v>79.52</v>
      </c>
      <c r="I73" s="57">
        <v>25</v>
      </c>
      <c r="J73" s="57">
        <v>7</v>
      </c>
      <c r="K73" s="56">
        <v>0</v>
      </c>
      <c r="L73" s="56">
        <v>2935</v>
      </c>
      <c r="M73" s="98">
        <v>2821</v>
      </c>
      <c r="N73" s="98">
        <v>30.7</v>
      </c>
      <c r="O73" s="98">
        <v>78</v>
      </c>
      <c r="P73" s="98">
        <v>21155</v>
      </c>
    </row>
    <row r="74" spans="1:16">
      <c r="A74" s="55" t="s">
        <v>435</v>
      </c>
      <c r="B74" s="55">
        <v>5554</v>
      </c>
      <c r="C74" s="56" t="s">
        <v>673</v>
      </c>
      <c r="D74" s="59">
        <v>4332.9859999999999</v>
      </c>
      <c r="E74" s="58">
        <v>287</v>
      </c>
      <c r="F74" s="56">
        <v>762</v>
      </c>
      <c r="G74" s="57">
        <v>111</v>
      </c>
      <c r="H74" s="57">
        <v>131.22</v>
      </c>
      <c r="I74" s="57">
        <v>34</v>
      </c>
      <c r="J74" s="57">
        <v>8</v>
      </c>
      <c r="K74" s="56">
        <v>0</v>
      </c>
      <c r="L74" s="56">
        <v>1025</v>
      </c>
      <c r="M74" s="98">
        <v>971</v>
      </c>
      <c r="N74" s="98">
        <v>3.7</v>
      </c>
      <c r="O74" s="98">
        <v>107</v>
      </c>
      <c r="P74" s="98">
        <v>4469</v>
      </c>
    </row>
    <row r="75" spans="1:16">
      <c r="A75" s="55" t="s">
        <v>241</v>
      </c>
      <c r="B75" s="55">
        <v>5712</v>
      </c>
      <c r="C75" s="56" t="s">
        <v>676</v>
      </c>
      <c r="D75" s="59">
        <v>17583.079000000002</v>
      </c>
      <c r="E75" s="58">
        <v>52</v>
      </c>
      <c r="F75" s="56">
        <v>6</v>
      </c>
      <c r="G75" s="57">
        <v>0</v>
      </c>
      <c r="H75" s="57">
        <v>0</v>
      </c>
      <c r="I75" s="57">
        <v>7</v>
      </c>
      <c r="J75" s="57">
        <v>0</v>
      </c>
      <c r="K75" s="56">
        <v>0</v>
      </c>
      <c r="L75" s="56">
        <v>3211</v>
      </c>
      <c r="M75" s="98">
        <v>3069</v>
      </c>
      <c r="N75" s="98">
        <v>122.5</v>
      </c>
      <c r="O75" s="98">
        <v>434</v>
      </c>
      <c r="P75" s="98">
        <v>17733</v>
      </c>
    </row>
    <row r="76" spans="1:16">
      <c r="A76" s="55" t="s">
        <v>436</v>
      </c>
      <c r="B76" s="55">
        <v>5404</v>
      </c>
      <c r="C76" s="56" t="s">
        <v>677</v>
      </c>
      <c r="D76" s="59">
        <v>1654.9290000000001</v>
      </c>
      <c r="E76" s="58">
        <v>793</v>
      </c>
      <c r="F76" s="56">
        <v>1200</v>
      </c>
      <c r="G76" s="57">
        <v>0</v>
      </c>
      <c r="H76" s="57">
        <v>63.36</v>
      </c>
      <c r="I76" s="57">
        <v>10</v>
      </c>
      <c r="J76" s="57">
        <v>0</v>
      </c>
      <c r="K76" s="56">
        <v>20</v>
      </c>
      <c r="L76" s="56">
        <v>437</v>
      </c>
      <c r="M76" s="98">
        <v>422</v>
      </c>
      <c r="N76" s="98">
        <v>7.3</v>
      </c>
      <c r="O76" s="98">
        <v>61</v>
      </c>
      <c r="P76" s="98">
        <v>1435</v>
      </c>
    </row>
    <row r="77" spans="1:16">
      <c r="A77" s="55" t="s">
        <v>653</v>
      </c>
      <c r="B77" s="55">
        <v>5785</v>
      </c>
      <c r="C77" s="56" t="s">
        <v>673</v>
      </c>
      <c r="D77" s="59">
        <v>1970.8219999999999</v>
      </c>
      <c r="E77" s="58">
        <v>411</v>
      </c>
      <c r="F77" s="56">
        <v>330</v>
      </c>
      <c r="G77" s="57">
        <v>2</v>
      </c>
      <c r="H77" s="57">
        <v>583.97</v>
      </c>
      <c r="I77" s="57">
        <v>39</v>
      </c>
      <c r="J77" s="57">
        <v>29</v>
      </c>
      <c r="K77" s="56">
        <v>3</v>
      </c>
      <c r="L77" s="56">
        <v>458</v>
      </c>
      <c r="M77" s="98">
        <v>434</v>
      </c>
      <c r="N77" s="98">
        <v>0</v>
      </c>
      <c r="O77" s="98">
        <v>12</v>
      </c>
      <c r="P77" s="98">
        <v>1199</v>
      </c>
    </row>
    <row r="78" spans="1:16">
      <c r="A78" s="55" t="s">
        <v>652</v>
      </c>
      <c r="B78" s="55">
        <v>5555</v>
      </c>
      <c r="C78" s="56" t="s">
        <v>673</v>
      </c>
      <c r="D78" s="59">
        <v>1294.0709999999999</v>
      </c>
      <c r="E78" s="58">
        <v>187</v>
      </c>
      <c r="F78" s="56">
        <v>173</v>
      </c>
      <c r="G78" s="57">
        <v>3</v>
      </c>
      <c r="H78" s="57">
        <v>143.59</v>
      </c>
      <c r="I78" s="57">
        <v>8</v>
      </c>
      <c r="J78" s="57">
        <v>0</v>
      </c>
      <c r="K78" s="56">
        <v>0</v>
      </c>
      <c r="L78" s="56">
        <v>401</v>
      </c>
      <c r="M78" s="98">
        <v>373</v>
      </c>
      <c r="N78" s="98">
        <v>1.8</v>
      </c>
      <c r="O78" s="98">
        <v>13</v>
      </c>
      <c r="P78" s="98">
        <v>2643</v>
      </c>
    </row>
    <row r="79" spans="1:16">
      <c r="A79" s="55" t="s">
        <v>683</v>
      </c>
      <c r="B79" s="55">
        <v>5816</v>
      </c>
      <c r="C79" s="56" t="s">
        <v>673</v>
      </c>
      <c r="D79" s="59">
        <v>0</v>
      </c>
      <c r="E79" s="58">
        <v>966</v>
      </c>
      <c r="F79" s="56">
        <v>55</v>
      </c>
      <c r="G79" s="57">
        <v>2226</v>
      </c>
      <c r="H79" s="57">
        <v>648.55999999999995</v>
      </c>
      <c r="I79" s="57">
        <v>23</v>
      </c>
      <c r="J79" s="57">
        <v>122</v>
      </c>
      <c r="K79" s="56">
        <v>47</v>
      </c>
      <c r="L79" s="56">
        <v>2571</v>
      </c>
      <c r="M79" s="98">
        <v>2401</v>
      </c>
      <c r="N79" s="98">
        <v>3.4</v>
      </c>
      <c r="O79" s="98">
        <v>406</v>
      </c>
      <c r="P79" s="98">
        <v>16550</v>
      </c>
    </row>
    <row r="80" spans="1:16">
      <c r="A80" s="55" t="s">
        <v>437</v>
      </c>
      <c r="B80" s="55">
        <v>5883</v>
      </c>
      <c r="C80" s="56" t="s">
        <v>676</v>
      </c>
      <c r="D80" s="59">
        <v>7407.55</v>
      </c>
      <c r="E80" s="58">
        <v>18</v>
      </c>
      <c r="F80" s="56">
        <v>0</v>
      </c>
      <c r="G80" s="57">
        <v>0</v>
      </c>
      <c r="H80" s="57">
        <v>0</v>
      </c>
      <c r="I80" s="57">
        <v>0</v>
      </c>
      <c r="J80" s="57">
        <v>0</v>
      </c>
      <c r="K80" s="56">
        <v>0</v>
      </c>
      <c r="L80" s="56">
        <v>2287</v>
      </c>
      <c r="M80" s="98">
        <v>2193</v>
      </c>
      <c r="N80" s="98">
        <v>3.1</v>
      </c>
      <c r="O80" s="98">
        <v>259</v>
      </c>
      <c r="P80" s="98">
        <v>10082</v>
      </c>
    </row>
    <row r="81" spans="1:16">
      <c r="A81" s="55" t="s">
        <v>651</v>
      </c>
      <c r="B81" s="55">
        <v>5884</v>
      </c>
      <c r="C81" s="56" t="s">
        <v>676</v>
      </c>
      <c r="D81" s="59">
        <v>37576.764000000003</v>
      </c>
      <c r="E81" s="58">
        <v>297</v>
      </c>
      <c r="F81" s="56">
        <v>232</v>
      </c>
      <c r="G81" s="57">
        <v>0</v>
      </c>
      <c r="H81" s="57">
        <v>203.58</v>
      </c>
      <c r="I81" s="57">
        <v>68</v>
      </c>
      <c r="J81" s="57">
        <v>33</v>
      </c>
      <c r="K81" s="56">
        <v>7</v>
      </c>
      <c r="L81" s="56">
        <v>3363</v>
      </c>
      <c r="M81" s="98">
        <v>3205</v>
      </c>
      <c r="N81" s="98">
        <v>130.1</v>
      </c>
      <c r="O81" s="98">
        <v>1097</v>
      </c>
      <c r="P81" s="98">
        <v>15772</v>
      </c>
    </row>
    <row r="82" spans="1:16">
      <c r="A82" s="55" t="s">
        <v>438</v>
      </c>
      <c r="B82" s="55">
        <v>5477</v>
      </c>
      <c r="C82" s="56" t="s">
        <v>675</v>
      </c>
      <c r="D82" s="59">
        <v>11429.335999999999</v>
      </c>
      <c r="E82" s="58">
        <v>491</v>
      </c>
      <c r="F82" s="56">
        <v>199</v>
      </c>
      <c r="G82" s="57">
        <v>411</v>
      </c>
      <c r="H82" s="57">
        <v>178.1</v>
      </c>
      <c r="I82" s="57">
        <v>75</v>
      </c>
      <c r="J82" s="57">
        <v>3</v>
      </c>
      <c r="K82" s="56">
        <v>5</v>
      </c>
      <c r="L82" s="56">
        <v>4045</v>
      </c>
      <c r="M82" s="98">
        <v>3830</v>
      </c>
      <c r="N82" s="98">
        <v>32.9</v>
      </c>
      <c r="O82" s="98">
        <v>706</v>
      </c>
      <c r="P82" s="98">
        <v>34917</v>
      </c>
    </row>
    <row r="83" spans="1:16">
      <c r="A83" s="55" t="s">
        <v>684</v>
      </c>
      <c r="B83" s="55">
        <v>5713</v>
      </c>
      <c r="C83" s="56" t="s">
        <v>673</v>
      </c>
      <c r="D83" s="59">
        <v>0</v>
      </c>
      <c r="E83" s="58">
        <v>235</v>
      </c>
      <c r="F83" s="56">
        <v>66</v>
      </c>
      <c r="G83" s="57">
        <v>0</v>
      </c>
      <c r="H83" s="57">
        <v>78.87</v>
      </c>
      <c r="I83" s="57">
        <v>3</v>
      </c>
      <c r="J83" s="57">
        <v>0</v>
      </c>
      <c r="K83" s="56">
        <v>0</v>
      </c>
      <c r="L83" s="56">
        <v>2286</v>
      </c>
      <c r="M83" s="98">
        <v>2197</v>
      </c>
      <c r="N83" s="98">
        <v>58.1</v>
      </c>
      <c r="O83" s="98">
        <v>102</v>
      </c>
      <c r="P83" s="98">
        <v>21359</v>
      </c>
    </row>
    <row r="84" spans="1:16">
      <c r="A84" s="55" t="s">
        <v>439</v>
      </c>
      <c r="B84" s="55">
        <v>5714</v>
      </c>
      <c r="C84" s="56" t="s">
        <v>673</v>
      </c>
      <c r="D84" s="59">
        <v>4459.8789999999999</v>
      </c>
      <c r="E84" s="58">
        <v>137</v>
      </c>
      <c r="F84" s="56">
        <v>23</v>
      </c>
      <c r="G84" s="57">
        <v>0</v>
      </c>
      <c r="H84" s="57">
        <v>16.73</v>
      </c>
      <c r="I84" s="57">
        <v>65</v>
      </c>
      <c r="J84" s="57">
        <v>0</v>
      </c>
      <c r="K84" s="56">
        <v>0</v>
      </c>
      <c r="L84" s="56">
        <v>1169</v>
      </c>
      <c r="M84" s="98">
        <v>1120</v>
      </c>
      <c r="N84" s="98">
        <v>58.9</v>
      </c>
      <c r="O84" s="98">
        <v>226</v>
      </c>
      <c r="P84" s="98">
        <v>764</v>
      </c>
    </row>
    <row r="85" spans="1:16">
      <c r="A85" s="55" t="s">
        <v>440</v>
      </c>
      <c r="B85" s="55">
        <v>5583</v>
      </c>
      <c r="C85" s="56" t="s">
        <v>676</v>
      </c>
      <c r="D85" s="59">
        <v>0</v>
      </c>
      <c r="E85" s="58">
        <v>133</v>
      </c>
      <c r="F85" s="56">
        <v>146</v>
      </c>
      <c r="G85" s="57">
        <v>5</v>
      </c>
      <c r="H85" s="57">
        <v>30.51</v>
      </c>
      <c r="I85" s="57">
        <v>23</v>
      </c>
      <c r="J85" s="57">
        <v>33</v>
      </c>
      <c r="K85" s="56">
        <v>2</v>
      </c>
      <c r="L85" s="56">
        <v>7944</v>
      </c>
      <c r="M85" s="98">
        <v>7546</v>
      </c>
      <c r="N85" s="98">
        <v>867.5</v>
      </c>
      <c r="O85" s="98">
        <v>7025</v>
      </c>
      <c r="P85" s="98">
        <v>128424</v>
      </c>
    </row>
    <row r="86" spans="1:16">
      <c r="A86" s="55" t="s">
        <v>441</v>
      </c>
      <c r="B86" s="55">
        <v>5910</v>
      </c>
      <c r="C86" s="56" t="s">
        <v>673</v>
      </c>
      <c r="D86" s="59">
        <v>1056.607</v>
      </c>
      <c r="E86" s="58">
        <v>396</v>
      </c>
      <c r="F86" s="56">
        <v>217</v>
      </c>
      <c r="G86" s="57">
        <v>2</v>
      </c>
      <c r="H86" s="57">
        <v>95.35</v>
      </c>
      <c r="I86" s="57">
        <v>71</v>
      </c>
      <c r="J86" s="57">
        <v>0</v>
      </c>
      <c r="K86" s="56">
        <v>0</v>
      </c>
      <c r="L86" s="56">
        <v>394</v>
      </c>
      <c r="M86" s="98">
        <v>363</v>
      </c>
      <c r="N86" s="98">
        <v>0</v>
      </c>
      <c r="O86" s="98">
        <v>20</v>
      </c>
      <c r="P86" s="98">
        <v>4685</v>
      </c>
    </row>
    <row r="87" spans="1:16">
      <c r="A87" s="55" t="s">
        <v>442</v>
      </c>
      <c r="B87" s="55">
        <v>5752</v>
      </c>
      <c r="C87" s="56" t="s">
        <v>673</v>
      </c>
      <c r="D87" s="59">
        <v>1191.836</v>
      </c>
      <c r="E87" s="58">
        <v>205</v>
      </c>
      <c r="F87" s="56">
        <v>216</v>
      </c>
      <c r="G87" s="57">
        <v>0</v>
      </c>
      <c r="H87" s="57">
        <v>22.26</v>
      </c>
      <c r="I87" s="57">
        <v>14</v>
      </c>
      <c r="J87" s="57">
        <v>17</v>
      </c>
      <c r="K87" s="56">
        <v>0</v>
      </c>
      <c r="L87" s="56">
        <v>403</v>
      </c>
      <c r="M87" s="98">
        <v>384</v>
      </c>
      <c r="N87" s="98">
        <v>9.9</v>
      </c>
      <c r="O87" s="98">
        <v>35</v>
      </c>
      <c r="P87" s="98">
        <v>537</v>
      </c>
    </row>
    <row r="88" spans="1:16">
      <c r="A88" s="55" t="s">
        <v>443</v>
      </c>
      <c r="B88" s="55">
        <v>5479</v>
      </c>
      <c r="C88" s="56" t="s">
        <v>673</v>
      </c>
      <c r="D88" s="59">
        <v>1906.35</v>
      </c>
      <c r="E88" s="58">
        <v>452</v>
      </c>
      <c r="F88" s="56">
        <v>216</v>
      </c>
      <c r="G88" s="57">
        <v>0</v>
      </c>
      <c r="H88" s="57">
        <v>130.66</v>
      </c>
      <c r="I88" s="57">
        <v>16</v>
      </c>
      <c r="J88" s="57">
        <v>6</v>
      </c>
      <c r="K88" s="56">
        <v>0</v>
      </c>
      <c r="L88" s="56">
        <v>486</v>
      </c>
      <c r="M88" s="98">
        <v>455</v>
      </c>
      <c r="N88" s="98">
        <v>2.6</v>
      </c>
      <c r="O88" s="98">
        <v>21</v>
      </c>
      <c r="P88" s="98">
        <v>5232</v>
      </c>
    </row>
    <row r="89" spans="1:16">
      <c r="A89" s="55" t="s">
        <v>444</v>
      </c>
      <c r="B89" s="55">
        <v>5911</v>
      </c>
      <c r="C89" s="56" t="s">
        <v>673</v>
      </c>
      <c r="D89" s="59">
        <v>1398.694</v>
      </c>
      <c r="E89" s="58">
        <v>309</v>
      </c>
      <c r="F89" s="56">
        <v>121</v>
      </c>
      <c r="G89" s="57">
        <v>10</v>
      </c>
      <c r="H89" s="57">
        <v>156.62</v>
      </c>
      <c r="I89" s="57">
        <v>33</v>
      </c>
      <c r="J89" s="57">
        <v>815</v>
      </c>
      <c r="K89" s="56">
        <v>8</v>
      </c>
      <c r="L89" s="56">
        <v>239</v>
      </c>
      <c r="M89" s="98">
        <v>218</v>
      </c>
      <c r="N89" s="98">
        <v>0</v>
      </c>
      <c r="O89" s="98">
        <v>18</v>
      </c>
      <c r="P89" s="98">
        <v>1724</v>
      </c>
    </row>
    <row r="90" spans="1:16">
      <c r="A90" s="55" t="s">
        <v>445</v>
      </c>
      <c r="B90" s="55">
        <v>5456</v>
      </c>
      <c r="C90" s="56" t="s">
        <v>673</v>
      </c>
      <c r="D90" s="59">
        <v>0</v>
      </c>
      <c r="E90" s="58">
        <v>937</v>
      </c>
      <c r="F90" s="56">
        <v>360</v>
      </c>
      <c r="G90" s="57">
        <v>237</v>
      </c>
      <c r="H90" s="57">
        <v>387.96</v>
      </c>
      <c r="I90" s="57">
        <v>25</v>
      </c>
      <c r="J90" s="57">
        <v>58</v>
      </c>
      <c r="K90" s="56">
        <v>0</v>
      </c>
      <c r="L90" s="56">
        <v>1735</v>
      </c>
      <c r="M90" s="98">
        <v>1648</v>
      </c>
      <c r="N90" s="98">
        <v>3.3</v>
      </c>
      <c r="O90" s="98">
        <v>165</v>
      </c>
      <c r="P90" s="98">
        <v>16883</v>
      </c>
    </row>
    <row r="91" spans="1:16">
      <c r="A91" s="55" t="s">
        <v>649</v>
      </c>
      <c r="B91" s="55">
        <v>5516</v>
      </c>
      <c r="C91" s="56" t="s">
        <v>676</v>
      </c>
      <c r="D91" s="59">
        <v>9693.3359999999993</v>
      </c>
      <c r="E91" s="58">
        <v>95</v>
      </c>
      <c r="F91" s="56">
        <v>110</v>
      </c>
      <c r="G91" s="57">
        <v>80</v>
      </c>
      <c r="H91" s="57">
        <v>75.98</v>
      </c>
      <c r="I91" s="57">
        <v>30</v>
      </c>
      <c r="J91" s="57">
        <v>5</v>
      </c>
      <c r="K91" s="56">
        <v>13</v>
      </c>
      <c r="L91" s="56">
        <v>2768</v>
      </c>
      <c r="M91" s="98">
        <v>2618</v>
      </c>
      <c r="N91" s="98">
        <v>35.4</v>
      </c>
      <c r="O91" s="98">
        <v>919</v>
      </c>
      <c r="P91" s="98">
        <v>5780</v>
      </c>
    </row>
    <row r="92" spans="1:16">
      <c r="A92" s="55" t="s">
        <v>446</v>
      </c>
      <c r="B92" s="55">
        <v>5669</v>
      </c>
      <c r="C92" s="56" t="s">
        <v>673</v>
      </c>
      <c r="D92" s="59">
        <v>1015.4930000000001</v>
      </c>
      <c r="E92" s="58">
        <v>385</v>
      </c>
      <c r="F92" s="56">
        <v>73</v>
      </c>
      <c r="G92" s="57">
        <v>88</v>
      </c>
      <c r="H92" s="57">
        <v>245.35</v>
      </c>
      <c r="I92" s="57">
        <v>77</v>
      </c>
      <c r="J92" s="57">
        <v>2</v>
      </c>
      <c r="K92" s="56">
        <v>8</v>
      </c>
      <c r="L92" s="56">
        <v>310</v>
      </c>
      <c r="M92" s="98">
        <v>299</v>
      </c>
      <c r="N92" s="98">
        <v>0</v>
      </c>
      <c r="O92" s="98">
        <v>12</v>
      </c>
      <c r="P92" s="98">
        <v>549</v>
      </c>
    </row>
    <row r="93" spans="1:16">
      <c r="A93" s="55" t="s">
        <v>447</v>
      </c>
      <c r="B93" s="55">
        <v>5480</v>
      </c>
      <c r="C93" s="56" t="s">
        <v>673</v>
      </c>
      <c r="D93" s="59">
        <v>9603.3070000000007</v>
      </c>
      <c r="E93" s="58">
        <v>355</v>
      </c>
      <c r="F93" s="56">
        <v>105</v>
      </c>
      <c r="G93" s="57">
        <v>783</v>
      </c>
      <c r="H93" s="57">
        <v>180.34</v>
      </c>
      <c r="I93" s="57">
        <v>9</v>
      </c>
      <c r="J93" s="57">
        <v>0</v>
      </c>
      <c r="K93" s="56">
        <v>5</v>
      </c>
      <c r="L93" s="56">
        <v>1034</v>
      </c>
      <c r="M93" s="98">
        <v>963</v>
      </c>
      <c r="N93" s="98">
        <v>44.6</v>
      </c>
      <c r="O93" s="98">
        <v>635</v>
      </c>
      <c r="P93" s="98">
        <v>7598</v>
      </c>
    </row>
    <row r="94" spans="1:16">
      <c r="A94" s="55" t="s">
        <v>648</v>
      </c>
      <c r="B94" s="55">
        <v>5912</v>
      </c>
      <c r="C94" s="56" t="s">
        <v>673</v>
      </c>
      <c r="D94" s="59">
        <v>501.62099999999998</v>
      </c>
      <c r="E94" s="58">
        <v>336</v>
      </c>
      <c r="F94" s="56">
        <v>72</v>
      </c>
      <c r="G94" s="57">
        <v>102</v>
      </c>
      <c r="H94" s="57">
        <v>147.58000000000001</v>
      </c>
      <c r="I94" s="57">
        <v>44</v>
      </c>
      <c r="J94" s="57">
        <v>2</v>
      </c>
      <c r="K94" s="56">
        <v>4</v>
      </c>
      <c r="L94" s="56">
        <v>156</v>
      </c>
      <c r="M94" s="98">
        <v>136</v>
      </c>
      <c r="N94" s="98">
        <v>0</v>
      </c>
      <c r="O94" s="98">
        <v>12</v>
      </c>
      <c r="P94" s="98">
        <v>254</v>
      </c>
    </row>
    <row r="95" spans="1:16">
      <c r="A95" s="55" t="s">
        <v>448</v>
      </c>
      <c r="B95" s="55">
        <v>5631</v>
      </c>
      <c r="C95" s="56" t="s">
        <v>673</v>
      </c>
      <c r="D95" s="59">
        <v>2712.489</v>
      </c>
      <c r="E95" s="58">
        <v>277</v>
      </c>
      <c r="F95" s="56">
        <v>12</v>
      </c>
      <c r="G95" s="57">
        <v>0</v>
      </c>
      <c r="H95" s="57">
        <v>111.48</v>
      </c>
      <c r="I95" s="57">
        <v>2</v>
      </c>
      <c r="J95" s="57">
        <v>0</v>
      </c>
      <c r="K95" s="56">
        <v>3</v>
      </c>
      <c r="L95" s="56">
        <v>742</v>
      </c>
      <c r="M95" s="98">
        <v>702</v>
      </c>
      <c r="N95" s="98">
        <v>2.5</v>
      </c>
      <c r="O95" s="98">
        <v>43</v>
      </c>
      <c r="P95" s="98">
        <v>3386</v>
      </c>
    </row>
    <row r="96" spans="1:16">
      <c r="A96" s="55" t="s">
        <v>449</v>
      </c>
      <c r="B96" s="55">
        <v>5632</v>
      </c>
      <c r="C96" s="56" t="s">
        <v>676</v>
      </c>
      <c r="D96" s="59">
        <v>6864.7</v>
      </c>
      <c r="E96" s="58">
        <v>78</v>
      </c>
      <c r="F96" s="56">
        <v>9</v>
      </c>
      <c r="G96" s="57">
        <v>0</v>
      </c>
      <c r="H96" s="57">
        <v>0</v>
      </c>
      <c r="I96" s="57">
        <v>1</v>
      </c>
      <c r="J96" s="57">
        <v>4</v>
      </c>
      <c r="K96" s="56">
        <v>3</v>
      </c>
      <c r="L96" s="56">
        <v>1609</v>
      </c>
      <c r="M96" s="98">
        <v>1554</v>
      </c>
      <c r="N96" s="98">
        <v>44.6</v>
      </c>
      <c r="O96" s="98">
        <v>488</v>
      </c>
      <c r="P96" s="98">
        <v>10605</v>
      </c>
    </row>
    <row r="97" spans="1:16">
      <c r="A97" s="55" t="s">
        <v>450</v>
      </c>
      <c r="B97" s="55">
        <v>5481</v>
      </c>
      <c r="C97" s="56" t="s">
        <v>673</v>
      </c>
      <c r="D97" s="59">
        <v>886.25</v>
      </c>
      <c r="E97" s="58">
        <v>207</v>
      </c>
      <c r="F97" s="56">
        <v>71</v>
      </c>
      <c r="G97" s="57">
        <v>3</v>
      </c>
      <c r="H97" s="57">
        <v>151.16999999999999</v>
      </c>
      <c r="I97" s="57">
        <v>5</v>
      </c>
      <c r="J97" s="57">
        <v>0</v>
      </c>
      <c r="K97" s="56">
        <v>0</v>
      </c>
      <c r="L97" s="56">
        <v>234</v>
      </c>
      <c r="M97" s="98">
        <v>221</v>
      </c>
      <c r="N97" s="98">
        <v>0</v>
      </c>
      <c r="O97" s="98">
        <v>36</v>
      </c>
      <c r="P97" s="98">
        <v>1881</v>
      </c>
    </row>
    <row r="98" spans="1:16">
      <c r="A98" s="55" t="s">
        <v>647</v>
      </c>
      <c r="B98" s="55">
        <v>5671</v>
      </c>
      <c r="C98" s="56" t="s">
        <v>673</v>
      </c>
      <c r="D98" s="59">
        <v>698.70600000000002</v>
      </c>
      <c r="E98" s="58">
        <v>233</v>
      </c>
      <c r="F98" s="56">
        <v>70</v>
      </c>
      <c r="G98" s="57">
        <v>327</v>
      </c>
      <c r="H98" s="57">
        <v>102.57</v>
      </c>
      <c r="I98" s="57">
        <v>26</v>
      </c>
      <c r="J98" s="57">
        <v>6</v>
      </c>
      <c r="K98" s="56">
        <v>9</v>
      </c>
      <c r="L98" s="56">
        <v>232</v>
      </c>
      <c r="M98" s="98">
        <v>222</v>
      </c>
      <c r="N98" s="98">
        <v>1.6</v>
      </c>
      <c r="O98" s="98">
        <v>21</v>
      </c>
      <c r="P98" s="98">
        <v>251</v>
      </c>
    </row>
    <row r="99" spans="1:16">
      <c r="A99" s="55" t="s">
        <v>451</v>
      </c>
      <c r="B99" s="55">
        <v>5913</v>
      </c>
      <c r="C99" s="56" t="s">
        <v>673</v>
      </c>
      <c r="D99" s="59">
        <v>2631.0790000000002</v>
      </c>
      <c r="E99" s="58">
        <v>613</v>
      </c>
      <c r="F99" s="56">
        <v>218</v>
      </c>
      <c r="G99" s="57">
        <v>5</v>
      </c>
      <c r="H99" s="57">
        <v>359.68</v>
      </c>
      <c r="I99" s="57">
        <v>28</v>
      </c>
      <c r="J99" s="57">
        <v>270</v>
      </c>
      <c r="K99" s="56">
        <v>11</v>
      </c>
      <c r="L99" s="56">
        <v>823</v>
      </c>
      <c r="M99" s="98">
        <v>761</v>
      </c>
      <c r="N99" s="98">
        <v>7</v>
      </c>
      <c r="O99" s="98">
        <v>45</v>
      </c>
      <c r="P99" s="98">
        <v>5716</v>
      </c>
    </row>
    <row r="100" spans="1:16">
      <c r="A100" s="55" t="s">
        <v>452</v>
      </c>
      <c r="B100" s="55">
        <v>5715</v>
      </c>
      <c r="C100" s="56" t="s">
        <v>673</v>
      </c>
      <c r="D100" s="59">
        <v>0</v>
      </c>
      <c r="E100" s="58">
        <v>307</v>
      </c>
      <c r="F100" s="56">
        <v>31</v>
      </c>
      <c r="G100" s="57">
        <v>0</v>
      </c>
      <c r="H100" s="57">
        <v>59.62</v>
      </c>
      <c r="I100" s="57">
        <v>4</v>
      </c>
      <c r="J100" s="57">
        <v>12</v>
      </c>
      <c r="K100" s="56">
        <v>0</v>
      </c>
      <c r="L100" s="56">
        <v>1090</v>
      </c>
      <c r="M100" s="98">
        <v>1040</v>
      </c>
      <c r="N100" s="98">
        <v>64.8</v>
      </c>
      <c r="O100" s="98">
        <v>181</v>
      </c>
      <c r="P100" s="98">
        <v>1810</v>
      </c>
    </row>
    <row r="101" spans="1:16">
      <c r="A101" s="55" t="s">
        <v>453</v>
      </c>
      <c r="B101" s="55">
        <v>5855</v>
      </c>
      <c r="C101" s="56" t="s">
        <v>673</v>
      </c>
      <c r="D101" s="59">
        <v>4027.6439999999998</v>
      </c>
      <c r="E101" s="58">
        <v>86</v>
      </c>
      <c r="F101" s="56">
        <v>24</v>
      </c>
      <c r="G101" s="57">
        <v>0</v>
      </c>
      <c r="H101" s="57">
        <v>0</v>
      </c>
      <c r="I101" s="57">
        <v>5</v>
      </c>
      <c r="J101" s="57">
        <v>0</v>
      </c>
      <c r="K101" s="56">
        <v>0</v>
      </c>
      <c r="L101" s="56">
        <v>639</v>
      </c>
      <c r="M101" s="98">
        <v>606</v>
      </c>
      <c r="N101" s="98">
        <v>1.7</v>
      </c>
      <c r="O101" s="98">
        <v>25</v>
      </c>
      <c r="P101" s="98">
        <v>8996</v>
      </c>
    </row>
    <row r="102" spans="1:16">
      <c r="A102" s="55" t="s">
        <v>454</v>
      </c>
      <c r="B102" s="55">
        <v>5518</v>
      </c>
      <c r="C102" s="56" t="s">
        <v>675</v>
      </c>
      <c r="D102" s="59">
        <v>21577.871999999999</v>
      </c>
      <c r="E102" s="58">
        <v>409</v>
      </c>
      <c r="F102" s="56">
        <v>91</v>
      </c>
      <c r="G102" s="57">
        <v>211</v>
      </c>
      <c r="H102" s="57">
        <v>310.89</v>
      </c>
      <c r="I102" s="57">
        <v>124</v>
      </c>
      <c r="J102" s="57">
        <v>14</v>
      </c>
      <c r="K102" s="56">
        <v>9</v>
      </c>
      <c r="L102" s="56">
        <v>5725</v>
      </c>
      <c r="M102" s="98">
        <v>5436</v>
      </c>
      <c r="N102" s="98">
        <v>65</v>
      </c>
      <c r="O102" s="98">
        <v>1373</v>
      </c>
      <c r="P102" s="98">
        <v>21684</v>
      </c>
    </row>
    <row r="103" spans="1:16">
      <c r="A103" s="55" t="s">
        <v>152</v>
      </c>
      <c r="B103" s="55">
        <v>5633</v>
      </c>
      <c r="C103" s="56" t="s">
        <v>676</v>
      </c>
      <c r="D103" s="59">
        <v>9781.0329999999994</v>
      </c>
      <c r="E103" s="58">
        <v>199</v>
      </c>
      <c r="F103" s="56">
        <v>70</v>
      </c>
      <c r="G103" s="57">
        <v>0</v>
      </c>
      <c r="H103" s="57">
        <v>0</v>
      </c>
      <c r="I103" s="57">
        <v>2</v>
      </c>
      <c r="J103" s="57">
        <v>0</v>
      </c>
      <c r="K103" s="56">
        <v>0</v>
      </c>
      <c r="L103" s="56">
        <v>2739</v>
      </c>
      <c r="M103" s="98">
        <v>2629</v>
      </c>
      <c r="N103" s="98">
        <v>107.1</v>
      </c>
      <c r="O103" s="98">
        <v>1188</v>
      </c>
      <c r="P103" s="98">
        <v>5559</v>
      </c>
    </row>
    <row r="104" spans="1:16">
      <c r="A104" s="55" t="s">
        <v>455</v>
      </c>
      <c r="B104" s="55">
        <v>5634</v>
      </c>
      <c r="C104" s="56" t="s">
        <v>673</v>
      </c>
      <c r="D104" s="59">
        <v>9568.0220000000008</v>
      </c>
      <c r="E104" s="58">
        <v>1061</v>
      </c>
      <c r="F104" s="56">
        <v>120</v>
      </c>
      <c r="G104" s="57">
        <v>12</v>
      </c>
      <c r="H104" s="57">
        <v>518.76</v>
      </c>
      <c r="I104" s="57">
        <v>120</v>
      </c>
      <c r="J104" s="57">
        <v>81</v>
      </c>
      <c r="K104" s="56">
        <v>7</v>
      </c>
      <c r="L104" s="56">
        <v>3077</v>
      </c>
      <c r="M104" s="98">
        <v>2888</v>
      </c>
      <c r="N104" s="98">
        <v>18.899999999999999</v>
      </c>
      <c r="O104" s="98">
        <v>523</v>
      </c>
      <c r="P104" s="98">
        <v>21622</v>
      </c>
    </row>
    <row r="105" spans="1:16">
      <c r="A105" s="55" t="s">
        <v>646</v>
      </c>
      <c r="B105" s="55">
        <v>5482</v>
      </c>
      <c r="C105" s="56" t="s">
        <v>673</v>
      </c>
      <c r="D105" s="59">
        <v>87691.592999999993</v>
      </c>
      <c r="E105" s="58">
        <v>297</v>
      </c>
      <c r="F105" s="56">
        <v>152</v>
      </c>
      <c r="G105" s="57">
        <v>0</v>
      </c>
      <c r="H105" s="57">
        <v>273.67</v>
      </c>
      <c r="I105" s="57">
        <v>8</v>
      </c>
      <c r="J105" s="57">
        <v>0</v>
      </c>
      <c r="K105" s="56">
        <v>0</v>
      </c>
      <c r="L105" s="56">
        <v>1222</v>
      </c>
      <c r="M105" s="98">
        <v>1124</v>
      </c>
      <c r="N105" s="98">
        <v>147.9</v>
      </c>
      <c r="O105" s="98">
        <v>1145</v>
      </c>
      <c r="P105" s="98">
        <v>5755</v>
      </c>
    </row>
    <row r="106" spans="1:16">
      <c r="A106" s="55" t="s">
        <v>685</v>
      </c>
      <c r="B106" s="55">
        <v>5635</v>
      </c>
      <c r="C106" s="56" t="s">
        <v>678</v>
      </c>
      <c r="D106" s="59">
        <v>0</v>
      </c>
      <c r="E106" s="58">
        <v>142</v>
      </c>
      <c r="F106" s="56">
        <v>66</v>
      </c>
      <c r="G106" s="57">
        <v>0</v>
      </c>
      <c r="H106" s="57">
        <v>8.9</v>
      </c>
      <c r="I106" s="57">
        <v>28</v>
      </c>
      <c r="J106" s="57">
        <v>3</v>
      </c>
      <c r="K106" s="56">
        <v>2</v>
      </c>
      <c r="L106" s="56">
        <v>13089</v>
      </c>
      <c r="M106" s="98">
        <v>12457</v>
      </c>
      <c r="N106" s="98">
        <v>824.3</v>
      </c>
      <c r="O106" s="98">
        <v>13145</v>
      </c>
      <c r="P106" s="98">
        <v>23959</v>
      </c>
    </row>
    <row r="107" spans="1:16">
      <c r="A107" s="55" t="s">
        <v>456</v>
      </c>
      <c r="B107" s="55">
        <v>5584</v>
      </c>
      <c r="C107" s="56" t="s">
        <v>676</v>
      </c>
      <c r="D107" s="59">
        <v>0</v>
      </c>
      <c r="E107" s="58">
        <v>64</v>
      </c>
      <c r="F107" s="56">
        <v>116</v>
      </c>
      <c r="G107" s="57">
        <v>4</v>
      </c>
      <c r="H107" s="57">
        <v>32.9</v>
      </c>
      <c r="I107" s="57">
        <v>3</v>
      </c>
      <c r="J107" s="57">
        <v>22</v>
      </c>
      <c r="K107" s="56">
        <v>5</v>
      </c>
      <c r="L107" s="56">
        <v>9701</v>
      </c>
      <c r="M107" s="98">
        <v>9222</v>
      </c>
      <c r="N107" s="98">
        <v>103.6</v>
      </c>
      <c r="O107" s="98">
        <v>1788</v>
      </c>
      <c r="P107" s="98">
        <v>32808</v>
      </c>
    </row>
    <row r="108" spans="1:16">
      <c r="A108" s="55" t="s">
        <v>645</v>
      </c>
      <c r="B108" s="55">
        <v>5914</v>
      </c>
      <c r="C108" s="56" t="s">
        <v>673</v>
      </c>
      <c r="D108" s="59">
        <v>1618.9110000000001</v>
      </c>
      <c r="E108" s="58">
        <v>357</v>
      </c>
      <c r="F108" s="56">
        <v>64</v>
      </c>
      <c r="G108" s="57">
        <v>255</v>
      </c>
      <c r="H108" s="57">
        <v>28.69</v>
      </c>
      <c r="I108" s="57">
        <v>59</v>
      </c>
      <c r="J108" s="57">
        <v>12</v>
      </c>
      <c r="K108" s="56">
        <v>0</v>
      </c>
      <c r="L108" s="56">
        <v>357</v>
      </c>
      <c r="M108" s="98">
        <v>336</v>
      </c>
      <c r="N108" s="98">
        <v>3.4</v>
      </c>
      <c r="O108" s="98">
        <v>26</v>
      </c>
      <c r="P108" s="98">
        <v>2524</v>
      </c>
    </row>
    <row r="109" spans="1:16">
      <c r="A109" s="55" t="s">
        <v>457</v>
      </c>
      <c r="B109" s="55">
        <v>5788</v>
      </c>
      <c r="C109" s="56" t="s">
        <v>673</v>
      </c>
      <c r="D109" s="59">
        <v>1284.7</v>
      </c>
      <c r="E109" s="58">
        <v>120</v>
      </c>
      <c r="F109" s="56">
        <v>28</v>
      </c>
      <c r="G109" s="57">
        <v>349</v>
      </c>
      <c r="H109" s="57">
        <v>134.88</v>
      </c>
      <c r="I109" s="57">
        <v>11</v>
      </c>
      <c r="J109" s="57">
        <v>6</v>
      </c>
      <c r="K109" s="56">
        <v>9</v>
      </c>
      <c r="L109" s="56">
        <v>380</v>
      </c>
      <c r="M109" s="98">
        <v>370</v>
      </c>
      <c r="N109" s="98">
        <v>0</v>
      </c>
      <c r="O109" s="98">
        <v>24</v>
      </c>
      <c r="P109" s="98">
        <v>2525</v>
      </c>
    </row>
    <row r="110" spans="1:16">
      <c r="A110" s="55" t="s">
        <v>644</v>
      </c>
      <c r="B110" s="55">
        <v>5856</v>
      </c>
      <c r="C110" s="56" t="s">
        <v>673</v>
      </c>
      <c r="D110" s="59">
        <v>2842.9720000000002</v>
      </c>
      <c r="E110" s="58">
        <v>481</v>
      </c>
      <c r="F110" s="56">
        <v>160</v>
      </c>
      <c r="G110" s="57">
        <v>0</v>
      </c>
      <c r="H110" s="57">
        <v>251.02</v>
      </c>
      <c r="I110" s="57">
        <v>79</v>
      </c>
      <c r="J110" s="57">
        <v>246</v>
      </c>
      <c r="K110" s="56">
        <v>0</v>
      </c>
      <c r="L110" s="56">
        <v>722</v>
      </c>
      <c r="M110" s="98">
        <v>669</v>
      </c>
      <c r="N110" s="98">
        <v>7.5</v>
      </c>
      <c r="O110" s="98">
        <v>29</v>
      </c>
      <c r="P110" s="98">
        <v>4281</v>
      </c>
    </row>
    <row r="111" spans="1:16">
      <c r="A111" s="55" t="s">
        <v>643</v>
      </c>
      <c r="B111" s="55">
        <v>5520</v>
      </c>
      <c r="C111" s="56" t="s">
        <v>673</v>
      </c>
      <c r="D111" s="59">
        <v>3528.1779999999999</v>
      </c>
      <c r="E111" s="58">
        <v>658</v>
      </c>
      <c r="F111" s="56">
        <v>252</v>
      </c>
      <c r="G111" s="57">
        <v>0</v>
      </c>
      <c r="H111" s="57">
        <v>329.36</v>
      </c>
      <c r="I111" s="57">
        <v>28</v>
      </c>
      <c r="J111" s="57">
        <v>92</v>
      </c>
      <c r="K111" s="56">
        <v>8</v>
      </c>
      <c r="L111" s="56">
        <v>1030</v>
      </c>
      <c r="M111" s="98">
        <v>961</v>
      </c>
      <c r="N111" s="98">
        <v>4.2</v>
      </c>
      <c r="O111" s="98">
        <v>73</v>
      </c>
      <c r="P111" s="98">
        <v>3216</v>
      </c>
    </row>
    <row r="112" spans="1:16">
      <c r="A112" s="55" t="s">
        <v>642</v>
      </c>
      <c r="B112" s="55">
        <v>5521</v>
      </c>
      <c r="C112" s="56" t="s">
        <v>673</v>
      </c>
      <c r="D112" s="59">
        <v>4663.3140000000003</v>
      </c>
      <c r="E112" s="58">
        <v>271</v>
      </c>
      <c r="F112" s="56">
        <v>58</v>
      </c>
      <c r="G112" s="57">
        <v>0</v>
      </c>
      <c r="H112" s="57">
        <v>388.91</v>
      </c>
      <c r="I112" s="57">
        <v>5</v>
      </c>
      <c r="J112" s="57">
        <v>0</v>
      </c>
      <c r="K112" s="56">
        <v>0</v>
      </c>
      <c r="L112" s="56">
        <v>1143</v>
      </c>
      <c r="M112" s="98">
        <v>1093</v>
      </c>
      <c r="N112" s="98">
        <v>26.3</v>
      </c>
      <c r="O112" s="98">
        <v>467</v>
      </c>
      <c r="P112" s="98">
        <v>9049</v>
      </c>
    </row>
    <row r="113" spans="1:16">
      <c r="A113" s="55" t="s">
        <v>458</v>
      </c>
      <c r="B113" s="55">
        <v>5636</v>
      </c>
      <c r="C113" s="56" t="s">
        <v>673</v>
      </c>
      <c r="D113" s="59">
        <v>0</v>
      </c>
      <c r="E113" s="58">
        <v>303</v>
      </c>
      <c r="F113" s="56">
        <v>34</v>
      </c>
      <c r="G113" s="57">
        <v>0</v>
      </c>
      <c r="H113" s="57">
        <v>6.69</v>
      </c>
      <c r="I113" s="57">
        <v>19</v>
      </c>
      <c r="J113" s="57">
        <v>15</v>
      </c>
      <c r="K113" s="56">
        <v>2</v>
      </c>
      <c r="L113" s="56">
        <v>2933</v>
      </c>
      <c r="M113" s="98">
        <v>2814</v>
      </c>
      <c r="N113" s="98">
        <v>291.39999999999998</v>
      </c>
      <c r="O113" s="98">
        <v>1957</v>
      </c>
      <c r="P113" s="98">
        <v>18787</v>
      </c>
    </row>
    <row r="114" spans="1:16">
      <c r="A114" s="55" t="s">
        <v>459</v>
      </c>
      <c r="B114" s="55">
        <v>5716</v>
      </c>
      <c r="C114" s="56" t="s">
        <v>676</v>
      </c>
      <c r="D114" s="59">
        <v>10135.771000000001</v>
      </c>
      <c r="E114" s="58">
        <v>164</v>
      </c>
      <c r="F114" s="56">
        <v>17</v>
      </c>
      <c r="G114" s="57">
        <v>0</v>
      </c>
      <c r="H114" s="57">
        <v>30.7</v>
      </c>
      <c r="I114" s="57">
        <v>8</v>
      </c>
      <c r="J114" s="57">
        <v>18</v>
      </c>
      <c r="K114" s="56">
        <v>0</v>
      </c>
      <c r="L114" s="56">
        <v>1737</v>
      </c>
      <c r="M114" s="98">
        <v>1628</v>
      </c>
      <c r="N114" s="98">
        <v>401.2</v>
      </c>
      <c r="O114" s="98">
        <v>1083</v>
      </c>
      <c r="P114" s="98">
        <v>23843</v>
      </c>
    </row>
    <row r="115" spans="1:16">
      <c r="A115" s="55" t="s">
        <v>460</v>
      </c>
      <c r="B115" s="55">
        <v>5458</v>
      </c>
      <c r="C115" s="56" t="s">
        <v>673</v>
      </c>
      <c r="D115" s="59">
        <v>0</v>
      </c>
      <c r="E115" s="58">
        <v>187</v>
      </c>
      <c r="F115" s="56">
        <v>90</v>
      </c>
      <c r="G115" s="57">
        <v>0</v>
      </c>
      <c r="H115" s="57">
        <v>100.12</v>
      </c>
      <c r="I115" s="57">
        <v>15</v>
      </c>
      <c r="J115" s="57">
        <v>121</v>
      </c>
      <c r="K115" s="56">
        <v>0</v>
      </c>
      <c r="L115" s="56">
        <v>884</v>
      </c>
      <c r="M115" s="98">
        <v>834</v>
      </c>
      <c r="N115" s="98">
        <v>1.6</v>
      </c>
      <c r="O115" s="98">
        <v>105</v>
      </c>
      <c r="P115" s="98">
        <v>4818</v>
      </c>
    </row>
    <row r="116" spans="1:16">
      <c r="A116" s="55" t="s">
        <v>686</v>
      </c>
      <c r="B116" s="55">
        <v>5427</v>
      </c>
      <c r="C116" s="56" t="s">
        <v>673</v>
      </c>
      <c r="D116" s="59">
        <v>0</v>
      </c>
      <c r="E116" s="58">
        <v>187</v>
      </c>
      <c r="F116" s="56">
        <v>17</v>
      </c>
      <c r="G116" s="57">
        <v>75</v>
      </c>
      <c r="H116" s="57">
        <v>26.45</v>
      </c>
      <c r="I116" s="57">
        <v>3</v>
      </c>
      <c r="J116" s="57">
        <v>0</v>
      </c>
      <c r="K116" s="56">
        <v>0</v>
      </c>
      <c r="L116" s="56">
        <v>861</v>
      </c>
      <c r="M116" s="98">
        <v>822</v>
      </c>
      <c r="N116" s="98">
        <v>10.1</v>
      </c>
      <c r="O116" s="98">
        <v>99</v>
      </c>
      <c r="P116" s="98">
        <v>5335</v>
      </c>
    </row>
    <row r="117" spans="1:16">
      <c r="A117" s="55" t="s">
        <v>243</v>
      </c>
      <c r="B117" s="55">
        <v>5483</v>
      </c>
      <c r="C117" s="56" t="s">
        <v>673</v>
      </c>
      <c r="D117" s="59">
        <v>787.78</v>
      </c>
      <c r="E117" s="58">
        <v>159</v>
      </c>
      <c r="F117" s="56">
        <v>130</v>
      </c>
      <c r="G117" s="57">
        <v>103</v>
      </c>
      <c r="H117" s="57">
        <v>167.7</v>
      </c>
      <c r="I117" s="57">
        <v>13</v>
      </c>
      <c r="J117" s="57">
        <v>0</v>
      </c>
      <c r="K117" s="56">
        <v>7</v>
      </c>
      <c r="L117" s="56">
        <v>320</v>
      </c>
      <c r="M117" s="98">
        <v>306</v>
      </c>
      <c r="N117" s="98">
        <v>0</v>
      </c>
      <c r="O117" s="98">
        <v>14</v>
      </c>
      <c r="P117" s="98">
        <v>1063</v>
      </c>
    </row>
    <row r="118" spans="1:16">
      <c r="A118" s="55" t="s">
        <v>461</v>
      </c>
      <c r="B118" s="55">
        <v>5522</v>
      </c>
      <c r="C118" s="56" t="s">
        <v>673</v>
      </c>
      <c r="D118" s="59">
        <v>3267.8780000000002</v>
      </c>
      <c r="E118" s="58">
        <v>497</v>
      </c>
      <c r="F118" s="56">
        <v>196</v>
      </c>
      <c r="G118" s="57">
        <v>133</v>
      </c>
      <c r="H118" s="57">
        <v>205.24</v>
      </c>
      <c r="I118" s="57">
        <v>20</v>
      </c>
      <c r="J118" s="57">
        <v>7</v>
      </c>
      <c r="K118" s="56">
        <v>2</v>
      </c>
      <c r="L118" s="56">
        <v>751</v>
      </c>
      <c r="M118" s="98">
        <v>698</v>
      </c>
      <c r="N118" s="98">
        <v>6</v>
      </c>
      <c r="O118" s="98">
        <v>99</v>
      </c>
      <c r="P118" s="98">
        <v>1503</v>
      </c>
    </row>
    <row r="119" spans="1:16">
      <c r="A119" s="55" t="s">
        <v>462</v>
      </c>
      <c r="B119" s="55">
        <v>5556</v>
      </c>
      <c r="C119" s="56" t="s">
        <v>673</v>
      </c>
      <c r="D119" s="59">
        <v>1379.079</v>
      </c>
      <c r="E119" s="58">
        <v>420</v>
      </c>
      <c r="F119" s="56">
        <v>238</v>
      </c>
      <c r="G119" s="57">
        <v>0</v>
      </c>
      <c r="H119" s="57">
        <v>91.34</v>
      </c>
      <c r="I119" s="57">
        <v>14</v>
      </c>
      <c r="J119" s="57">
        <v>53</v>
      </c>
      <c r="K119" s="56">
        <v>20</v>
      </c>
      <c r="L119" s="56">
        <v>445</v>
      </c>
      <c r="M119" s="98">
        <v>428</v>
      </c>
      <c r="N119" s="98">
        <v>0</v>
      </c>
      <c r="O119" s="98">
        <v>17</v>
      </c>
      <c r="P119" s="98">
        <v>573</v>
      </c>
    </row>
    <row r="120" spans="1:16">
      <c r="A120" s="55" t="s">
        <v>641</v>
      </c>
      <c r="B120" s="55">
        <v>5557</v>
      </c>
      <c r="C120" s="56" t="s">
        <v>673</v>
      </c>
      <c r="D120" s="59">
        <v>692.62900000000002</v>
      </c>
      <c r="E120" s="58">
        <v>362</v>
      </c>
      <c r="F120" s="56">
        <v>407</v>
      </c>
      <c r="G120" s="57">
        <v>0</v>
      </c>
      <c r="H120" s="57">
        <v>50.96</v>
      </c>
      <c r="I120" s="57">
        <v>7</v>
      </c>
      <c r="J120" s="57">
        <v>12</v>
      </c>
      <c r="K120" s="56">
        <v>5</v>
      </c>
      <c r="L120" s="56">
        <v>215</v>
      </c>
      <c r="M120" s="98">
        <v>201</v>
      </c>
      <c r="N120" s="98">
        <v>0</v>
      </c>
      <c r="O120" s="98">
        <v>4</v>
      </c>
      <c r="P120" s="98">
        <v>435</v>
      </c>
    </row>
    <row r="121" spans="1:16">
      <c r="A121" s="55" t="s">
        <v>463</v>
      </c>
      <c r="B121" s="55">
        <v>5604</v>
      </c>
      <c r="C121" s="56" t="s">
        <v>673</v>
      </c>
      <c r="D121" s="59">
        <v>9415.2109999999993</v>
      </c>
      <c r="E121" s="58">
        <v>1173</v>
      </c>
      <c r="F121" s="56">
        <v>516</v>
      </c>
      <c r="G121" s="57">
        <v>264</v>
      </c>
      <c r="H121" s="57">
        <v>867.55</v>
      </c>
      <c r="I121" s="57">
        <v>97</v>
      </c>
      <c r="J121" s="57">
        <v>1369</v>
      </c>
      <c r="K121" s="56">
        <v>249</v>
      </c>
      <c r="L121" s="56">
        <v>2064</v>
      </c>
      <c r="M121" s="98">
        <v>1960</v>
      </c>
      <c r="N121" s="98">
        <v>23.9</v>
      </c>
      <c r="O121" s="98">
        <v>640</v>
      </c>
      <c r="P121" s="98">
        <v>8204</v>
      </c>
    </row>
    <row r="122" spans="1:16">
      <c r="A122" s="55" t="s">
        <v>464</v>
      </c>
      <c r="B122" s="55">
        <v>5717</v>
      </c>
      <c r="C122" s="56" t="s">
        <v>673</v>
      </c>
      <c r="D122" s="59">
        <v>17438.811000000002</v>
      </c>
      <c r="E122" s="58">
        <v>295</v>
      </c>
      <c r="F122" s="56">
        <v>10</v>
      </c>
      <c r="G122" s="57">
        <v>0</v>
      </c>
      <c r="H122" s="57">
        <v>34.57</v>
      </c>
      <c r="I122" s="57">
        <v>19</v>
      </c>
      <c r="J122" s="57">
        <v>45</v>
      </c>
      <c r="K122" s="56">
        <v>0</v>
      </c>
      <c r="L122" s="56">
        <v>3772</v>
      </c>
      <c r="M122" s="98">
        <v>3571</v>
      </c>
      <c r="N122" s="98">
        <v>138.19999999999999</v>
      </c>
      <c r="O122" s="98">
        <v>435</v>
      </c>
      <c r="P122" s="98">
        <v>11034</v>
      </c>
    </row>
    <row r="123" spans="1:16">
      <c r="A123" s="55" t="s">
        <v>465</v>
      </c>
      <c r="B123" s="55">
        <v>5523</v>
      </c>
      <c r="C123" s="56" t="s">
        <v>673</v>
      </c>
      <c r="D123" s="59">
        <v>6889.4790000000003</v>
      </c>
      <c r="E123" s="58">
        <v>258</v>
      </c>
      <c r="F123" s="56">
        <v>361</v>
      </c>
      <c r="G123" s="57">
        <v>3</v>
      </c>
      <c r="H123" s="57">
        <v>225.27</v>
      </c>
      <c r="I123" s="57">
        <v>9</v>
      </c>
      <c r="J123" s="57">
        <v>24</v>
      </c>
      <c r="K123" s="56">
        <v>4</v>
      </c>
      <c r="L123" s="56">
        <v>2638</v>
      </c>
      <c r="M123" s="98">
        <v>2476</v>
      </c>
      <c r="N123" s="98">
        <v>3.6</v>
      </c>
      <c r="O123" s="98">
        <v>68</v>
      </c>
      <c r="P123" s="98">
        <v>6890</v>
      </c>
    </row>
    <row r="124" spans="1:16">
      <c r="A124" s="55" t="s">
        <v>466</v>
      </c>
      <c r="B124" s="55">
        <v>5718</v>
      </c>
      <c r="C124" s="56" t="s">
        <v>673</v>
      </c>
      <c r="D124" s="59">
        <v>14214.329</v>
      </c>
      <c r="E124" s="58">
        <v>208</v>
      </c>
      <c r="F124" s="56">
        <v>172</v>
      </c>
      <c r="G124" s="57">
        <v>22</v>
      </c>
      <c r="H124" s="57">
        <v>187.15</v>
      </c>
      <c r="I124" s="57">
        <v>25</v>
      </c>
      <c r="J124" s="57">
        <v>21</v>
      </c>
      <c r="K124" s="56">
        <v>15</v>
      </c>
      <c r="L124" s="56">
        <v>2000</v>
      </c>
      <c r="M124" s="98">
        <v>1892</v>
      </c>
      <c r="N124" s="98">
        <v>290.5</v>
      </c>
      <c r="O124" s="98">
        <v>361</v>
      </c>
      <c r="P124" s="98">
        <v>14155</v>
      </c>
    </row>
    <row r="125" spans="1:16">
      <c r="A125" s="55" t="s">
        <v>467</v>
      </c>
      <c r="B125" s="55">
        <v>5559</v>
      </c>
      <c r="C125" s="56" t="s">
        <v>673</v>
      </c>
      <c r="D125" s="59">
        <v>1623.0219999999999</v>
      </c>
      <c r="E125" s="58">
        <v>276</v>
      </c>
      <c r="F125" s="56">
        <v>168</v>
      </c>
      <c r="G125" s="57">
        <v>0</v>
      </c>
      <c r="H125" s="57">
        <v>98.99</v>
      </c>
      <c r="I125" s="57">
        <v>60</v>
      </c>
      <c r="J125" s="57">
        <v>12</v>
      </c>
      <c r="K125" s="56">
        <v>35</v>
      </c>
      <c r="L125" s="56">
        <v>414</v>
      </c>
      <c r="M125" s="98">
        <v>391</v>
      </c>
      <c r="N125" s="98">
        <v>8.4</v>
      </c>
      <c r="O125" s="98">
        <v>30</v>
      </c>
      <c r="P125" s="98">
        <v>1175</v>
      </c>
    </row>
    <row r="126" spans="1:16">
      <c r="A126" s="55" t="s">
        <v>468</v>
      </c>
      <c r="B126" s="55">
        <v>5857</v>
      </c>
      <c r="C126" s="56" t="s">
        <v>673</v>
      </c>
      <c r="D126" s="59">
        <v>4403.6790000000001</v>
      </c>
      <c r="E126" s="58">
        <v>420</v>
      </c>
      <c r="F126" s="56">
        <v>269</v>
      </c>
      <c r="G126" s="57">
        <v>0</v>
      </c>
      <c r="H126" s="57">
        <v>181.71</v>
      </c>
      <c r="I126" s="57">
        <v>19</v>
      </c>
      <c r="J126" s="57">
        <v>3</v>
      </c>
      <c r="K126" s="56">
        <v>4</v>
      </c>
      <c r="L126" s="56">
        <v>1370</v>
      </c>
      <c r="M126" s="98">
        <v>1279</v>
      </c>
      <c r="N126" s="98">
        <v>53.2</v>
      </c>
      <c r="O126" s="98">
        <v>121</v>
      </c>
      <c r="P126" s="98">
        <v>8960</v>
      </c>
    </row>
    <row r="127" spans="1:16">
      <c r="A127" s="55" t="s">
        <v>469</v>
      </c>
      <c r="B127" s="55">
        <v>5428</v>
      </c>
      <c r="C127" s="56" t="s">
        <v>673</v>
      </c>
      <c r="D127" s="59">
        <v>6585.8289999999997</v>
      </c>
      <c r="E127" s="58">
        <v>598</v>
      </c>
      <c r="F127" s="56">
        <v>1172</v>
      </c>
      <c r="G127" s="57">
        <v>655</v>
      </c>
      <c r="H127" s="57">
        <v>493.58</v>
      </c>
      <c r="I127" s="57">
        <v>98</v>
      </c>
      <c r="J127" s="57">
        <v>441</v>
      </c>
      <c r="K127" s="56">
        <v>0</v>
      </c>
      <c r="L127" s="56">
        <v>2238</v>
      </c>
      <c r="M127" s="98">
        <v>2091</v>
      </c>
      <c r="N127" s="98">
        <v>68.2</v>
      </c>
      <c r="O127" s="98">
        <v>273</v>
      </c>
      <c r="P127" s="98">
        <v>14840</v>
      </c>
    </row>
    <row r="128" spans="1:16">
      <c r="A128" s="55" t="s">
        <v>470</v>
      </c>
      <c r="B128" s="55">
        <v>5719</v>
      </c>
      <c r="C128" s="56" t="s">
        <v>673</v>
      </c>
      <c r="D128" s="59">
        <v>7163.183</v>
      </c>
      <c r="E128" s="58">
        <v>406</v>
      </c>
      <c r="F128" s="56">
        <v>750</v>
      </c>
      <c r="G128" s="57">
        <v>0</v>
      </c>
      <c r="H128" s="57">
        <v>181.61</v>
      </c>
      <c r="I128" s="57">
        <v>94</v>
      </c>
      <c r="J128" s="57">
        <v>0</v>
      </c>
      <c r="K128" s="56">
        <v>4</v>
      </c>
      <c r="L128" s="56">
        <v>1239</v>
      </c>
      <c r="M128" s="98">
        <v>1198</v>
      </c>
      <c r="N128" s="98">
        <v>61.2</v>
      </c>
      <c r="O128" s="98">
        <v>136</v>
      </c>
      <c r="P128" s="98">
        <v>7260</v>
      </c>
    </row>
    <row r="129" spans="1:16">
      <c r="A129" s="55" t="s">
        <v>471</v>
      </c>
      <c r="B129" s="55">
        <v>5720</v>
      </c>
      <c r="C129" s="56" t="s">
        <v>673</v>
      </c>
      <c r="D129" s="59">
        <v>5467.8059999999996</v>
      </c>
      <c r="E129" s="58">
        <v>164</v>
      </c>
      <c r="F129" s="56">
        <v>169</v>
      </c>
      <c r="G129" s="57">
        <v>0</v>
      </c>
      <c r="H129" s="57">
        <v>236.84</v>
      </c>
      <c r="I129" s="57">
        <v>36</v>
      </c>
      <c r="J129" s="57">
        <v>0</v>
      </c>
      <c r="K129" s="56">
        <v>0</v>
      </c>
      <c r="L129" s="56">
        <v>1032</v>
      </c>
      <c r="M129" s="98">
        <v>999</v>
      </c>
      <c r="N129" s="98">
        <v>11.7</v>
      </c>
      <c r="O129" s="98">
        <v>50</v>
      </c>
      <c r="P129" s="98">
        <v>5567</v>
      </c>
    </row>
    <row r="130" spans="1:16">
      <c r="A130" s="55" t="s">
        <v>472</v>
      </c>
      <c r="B130" s="55">
        <v>5721</v>
      </c>
      <c r="C130" s="56" t="s">
        <v>675</v>
      </c>
      <c r="D130" s="59">
        <v>0</v>
      </c>
      <c r="E130" s="58">
        <v>352</v>
      </c>
      <c r="F130" s="56">
        <v>121</v>
      </c>
      <c r="G130" s="57">
        <v>0</v>
      </c>
      <c r="H130" s="57">
        <v>125.78</v>
      </c>
      <c r="I130" s="57">
        <v>24</v>
      </c>
      <c r="J130" s="57">
        <v>141</v>
      </c>
      <c r="K130" s="56">
        <v>0</v>
      </c>
      <c r="L130" s="56">
        <v>13194</v>
      </c>
      <c r="M130" s="98">
        <v>12378</v>
      </c>
      <c r="N130" s="98">
        <v>910.9</v>
      </c>
      <c r="O130" s="98">
        <v>3302</v>
      </c>
      <c r="P130" s="98">
        <v>35813</v>
      </c>
    </row>
    <row r="131" spans="1:16">
      <c r="A131" s="55" t="s">
        <v>473</v>
      </c>
      <c r="B131" s="55">
        <v>5484</v>
      </c>
      <c r="C131" s="56" t="s">
        <v>673</v>
      </c>
      <c r="D131" s="59">
        <v>3120.2289999999998</v>
      </c>
      <c r="E131" s="58">
        <v>432</v>
      </c>
      <c r="F131" s="56">
        <v>63</v>
      </c>
      <c r="G131" s="57">
        <v>998</v>
      </c>
      <c r="H131" s="57">
        <v>229.33</v>
      </c>
      <c r="I131" s="57">
        <v>9</v>
      </c>
      <c r="J131" s="57">
        <v>0</v>
      </c>
      <c r="K131" s="56">
        <v>3</v>
      </c>
      <c r="L131" s="56">
        <v>939</v>
      </c>
      <c r="M131" s="98">
        <v>879</v>
      </c>
      <c r="N131" s="98">
        <v>12.4</v>
      </c>
      <c r="O131" s="98">
        <v>133</v>
      </c>
      <c r="P131" s="98">
        <v>12794</v>
      </c>
    </row>
    <row r="132" spans="1:16">
      <c r="A132" s="55" t="s">
        <v>640</v>
      </c>
      <c r="B132" s="55">
        <v>5541</v>
      </c>
      <c r="C132" s="56" t="s">
        <v>673</v>
      </c>
      <c r="D132" s="59">
        <v>3876.2440000000001</v>
      </c>
      <c r="E132" s="58">
        <v>765</v>
      </c>
      <c r="F132" s="56">
        <v>218</v>
      </c>
      <c r="G132" s="57">
        <v>24</v>
      </c>
      <c r="H132" s="57">
        <v>191.58</v>
      </c>
      <c r="I132" s="57">
        <v>21</v>
      </c>
      <c r="J132" s="57">
        <v>24</v>
      </c>
      <c r="K132" s="56">
        <v>1</v>
      </c>
      <c r="L132" s="56">
        <v>1140</v>
      </c>
      <c r="M132" s="98">
        <v>1066</v>
      </c>
      <c r="N132" s="98">
        <v>2.2000000000000002</v>
      </c>
      <c r="O132" s="98">
        <v>156</v>
      </c>
      <c r="P132" s="98">
        <v>5045</v>
      </c>
    </row>
    <row r="133" spans="1:16">
      <c r="A133" s="55" t="s">
        <v>474</v>
      </c>
      <c r="B133" s="55">
        <v>5485</v>
      </c>
      <c r="C133" s="56" t="s">
        <v>673</v>
      </c>
      <c r="D133" s="59">
        <v>1348.8389999999999</v>
      </c>
      <c r="E133" s="58">
        <v>383</v>
      </c>
      <c r="F133" s="56">
        <v>149</v>
      </c>
      <c r="G133" s="57">
        <v>0</v>
      </c>
      <c r="H133" s="57">
        <v>203.81</v>
      </c>
      <c r="I133" s="57">
        <v>20</v>
      </c>
      <c r="J133" s="57">
        <v>35</v>
      </c>
      <c r="K133" s="56">
        <v>18</v>
      </c>
      <c r="L133" s="56">
        <v>397</v>
      </c>
      <c r="M133" s="98">
        <v>375</v>
      </c>
      <c r="N133" s="98">
        <v>4</v>
      </c>
      <c r="O133" s="98">
        <v>29</v>
      </c>
      <c r="P133" s="98">
        <v>1890</v>
      </c>
    </row>
    <row r="134" spans="1:16">
      <c r="A134" s="55" t="s">
        <v>475</v>
      </c>
      <c r="B134" s="55">
        <v>5817</v>
      </c>
      <c r="C134" s="56" t="s">
        <v>673</v>
      </c>
      <c r="D134" s="59">
        <v>0</v>
      </c>
      <c r="E134" s="58">
        <v>797</v>
      </c>
      <c r="F134" s="56">
        <v>145</v>
      </c>
      <c r="G134" s="57">
        <v>234</v>
      </c>
      <c r="H134" s="57">
        <v>524.04</v>
      </c>
      <c r="I134" s="57">
        <v>19</v>
      </c>
      <c r="J134" s="57">
        <v>25</v>
      </c>
      <c r="K134" s="56">
        <v>0</v>
      </c>
      <c r="L134" s="56">
        <v>953</v>
      </c>
      <c r="M134" s="98">
        <v>893</v>
      </c>
      <c r="N134" s="98">
        <v>0</v>
      </c>
      <c r="O134" s="98">
        <v>73</v>
      </c>
      <c r="P134" s="98">
        <v>5098</v>
      </c>
    </row>
    <row r="135" spans="1:16">
      <c r="A135" s="55" t="s">
        <v>476</v>
      </c>
      <c r="B135" s="55">
        <v>5560</v>
      </c>
      <c r="C135" s="56" t="s">
        <v>673</v>
      </c>
      <c r="D135" s="59">
        <v>819.52200000000005</v>
      </c>
      <c r="E135" s="58">
        <v>154</v>
      </c>
      <c r="F135" s="56">
        <v>176</v>
      </c>
      <c r="G135" s="57">
        <v>0</v>
      </c>
      <c r="H135" s="57">
        <v>55.07</v>
      </c>
      <c r="I135" s="57">
        <v>0</v>
      </c>
      <c r="J135" s="57">
        <v>21</v>
      </c>
      <c r="K135" s="56">
        <v>0</v>
      </c>
      <c r="L135" s="56">
        <v>222</v>
      </c>
      <c r="M135" s="98">
        <v>213</v>
      </c>
      <c r="N135" s="98">
        <v>0</v>
      </c>
      <c r="O135" s="98">
        <v>2</v>
      </c>
      <c r="P135" s="98">
        <v>1072</v>
      </c>
    </row>
    <row r="136" spans="1:16">
      <c r="A136" s="55" t="s">
        <v>477</v>
      </c>
      <c r="B136" s="55">
        <v>5561</v>
      </c>
      <c r="C136" s="56" t="s">
        <v>675</v>
      </c>
      <c r="D136" s="59">
        <v>14499.779</v>
      </c>
      <c r="E136" s="58">
        <v>507</v>
      </c>
      <c r="F136" s="56">
        <v>64</v>
      </c>
      <c r="G136" s="57">
        <v>915</v>
      </c>
      <c r="H136" s="57">
        <v>207.44</v>
      </c>
      <c r="I136" s="57">
        <v>6</v>
      </c>
      <c r="J136" s="57">
        <v>0</v>
      </c>
      <c r="K136" s="56">
        <v>0</v>
      </c>
      <c r="L136" s="56">
        <v>3340</v>
      </c>
      <c r="M136" s="98">
        <v>3191</v>
      </c>
      <c r="N136" s="98">
        <v>125.2</v>
      </c>
      <c r="O136" s="98">
        <v>1022</v>
      </c>
      <c r="P136" s="98">
        <v>15381</v>
      </c>
    </row>
    <row r="137" spans="1:16">
      <c r="A137" s="55" t="s">
        <v>478</v>
      </c>
      <c r="B137" s="55">
        <v>5722</v>
      </c>
      <c r="C137" s="56" t="s">
        <v>673</v>
      </c>
      <c r="D137" s="59">
        <v>1679.3430000000001</v>
      </c>
      <c r="E137" s="58">
        <v>227</v>
      </c>
      <c r="F137" s="56">
        <v>5</v>
      </c>
      <c r="G137" s="57">
        <v>0</v>
      </c>
      <c r="H137" s="57">
        <v>182.99</v>
      </c>
      <c r="I137" s="57">
        <v>2</v>
      </c>
      <c r="J137" s="57">
        <v>0</v>
      </c>
      <c r="K137" s="56">
        <v>0</v>
      </c>
      <c r="L137" s="56">
        <v>383</v>
      </c>
      <c r="M137" s="98">
        <v>362</v>
      </c>
      <c r="N137" s="98">
        <v>9.6</v>
      </c>
      <c r="O137" s="98">
        <v>60</v>
      </c>
      <c r="P137" s="98">
        <v>3719</v>
      </c>
    </row>
    <row r="138" spans="1:16">
      <c r="A138" s="55" t="s">
        <v>479</v>
      </c>
      <c r="B138" s="55">
        <v>5405</v>
      </c>
      <c r="C138" s="56" t="s">
        <v>677</v>
      </c>
      <c r="D138" s="59">
        <v>24.870999999999999</v>
      </c>
      <c r="E138" s="58">
        <v>417</v>
      </c>
      <c r="F138" s="56">
        <v>786</v>
      </c>
      <c r="G138" s="57">
        <v>0</v>
      </c>
      <c r="H138" s="57">
        <v>33.020000000000003</v>
      </c>
      <c r="I138" s="57">
        <v>14</v>
      </c>
      <c r="J138" s="57">
        <v>42</v>
      </c>
      <c r="K138" s="56">
        <v>4</v>
      </c>
      <c r="L138" s="56">
        <v>1347</v>
      </c>
      <c r="M138" s="98">
        <v>1281</v>
      </c>
      <c r="N138" s="98">
        <v>5</v>
      </c>
      <c r="O138" s="98">
        <v>158</v>
      </c>
      <c r="P138" s="98">
        <v>18422</v>
      </c>
    </row>
    <row r="139" spans="1:16" s="381" customFormat="1">
      <c r="A139" s="376" t="s">
        <v>887</v>
      </c>
      <c r="B139" s="376">
        <v>5656</v>
      </c>
      <c r="C139" s="377" t="s">
        <v>673</v>
      </c>
      <c r="D139" s="378">
        <v>15411.808000000001</v>
      </c>
      <c r="E139" s="379">
        <v>1934</v>
      </c>
      <c r="F139" s="377">
        <v>1116</v>
      </c>
      <c r="G139" s="380">
        <v>1599</v>
      </c>
      <c r="H139" s="380">
        <v>1257.9100000000001</v>
      </c>
      <c r="I139" s="380">
        <v>301</v>
      </c>
      <c r="J139" s="380">
        <v>165</v>
      </c>
      <c r="K139" s="377">
        <v>11</v>
      </c>
      <c r="L139" s="377">
        <v>4074</v>
      </c>
      <c r="M139" s="377">
        <v>3849</v>
      </c>
      <c r="N139" s="377">
        <v>0</v>
      </c>
      <c r="O139" s="377">
        <v>504</v>
      </c>
      <c r="P139" s="377">
        <v>29416</v>
      </c>
    </row>
    <row r="140" spans="1:16">
      <c r="A140" s="55" t="s">
        <v>480</v>
      </c>
      <c r="B140" s="55">
        <v>5819</v>
      </c>
      <c r="C140" s="56" t="s">
        <v>673</v>
      </c>
      <c r="D140" s="59">
        <v>8102.6930000000002</v>
      </c>
      <c r="E140" s="58">
        <v>147</v>
      </c>
      <c r="F140" s="56">
        <v>64</v>
      </c>
      <c r="G140" s="57">
        <v>0</v>
      </c>
      <c r="H140" s="57">
        <v>86.73</v>
      </c>
      <c r="I140" s="57">
        <v>49</v>
      </c>
      <c r="J140" s="57">
        <v>12</v>
      </c>
      <c r="K140" s="56">
        <v>0</v>
      </c>
      <c r="L140" s="56">
        <v>376</v>
      </c>
      <c r="M140" s="98">
        <v>350</v>
      </c>
      <c r="N140" s="98">
        <v>0.8</v>
      </c>
      <c r="O140" s="98">
        <v>255</v>
      </c>
      <c r="P140" s="98">
        <v>2102</v>
      </c>
    </row>
    <row r="141" spans="1:16">
      <c r="A141" s="55" t="s">
        <v>481</v>
      </c>
      <c r="B141" s="55">
        <v>5673</v>
      </c>
      <c r="C141" s="56" t="s">
        <v>673</v>
      </c>
      <c r="D141" s="59">
        <v>1105.7560000000001</v>
      </c>
      <c r="E141" s="58">
        <v>307</v>
      </c>
      <c r="F141" s="56">
        <v>141</v>
      </c>
      <c r="G141" s="57">
        <v>4</v>
      </c>
      <c r="H141" s="57">
        <v>190.53</v>
      </c>
      <c r="I141" s="57">
        <v>12</v>
      </c>
      <c r="J141" s="57">
        <v>9</v>
      </c>
      <c r="K141" s="56">
        <v>0</v>
      </c>
      <c r="L141" s="56">
        <v>367</v>
      </c>
      <c r="M141" s="98">
        <v>350</v>
      </c>
      <c r="N141" s="98">
        <v>3.7</v>
      </c>
      <c r="O141" s="98">
        <v>23</v>
      </c>
      <c r="P141" s="98">
        <v>806</v>
      </c>
    </row>
    <row r="142" spans="1:16">
      <c r="A142" s="55" t="s">
        <v>482</v>
      </c>
      <c r="B142" s="55">
        <v>5885</v>
      </c>
      <c r="C142" s="56" t="s">
        <v>676</v>
      </c>
      <c r="D142" s="59">
        <v>4725.8</v>
      </c>
      <c r="E142" s="58">
        <v>105</v>
      </c>
      <c r="F142" s="56">
        <v>46</v>
      </c>
      <c r="G142" s="57">
        <v>0</v>
      </c>
      <c r="H142" s="57">
        <v>146.61000000000001</v>
      </c>
      <c r="I142" s="57">
        <v>26</v>
      </c>
      <c r="J142" s="57">
        <v>44</v>
      </c>
      <c r="K142" s="56">
        <v>0</v>
      </c>
      <c r="L142" s="56">
        <v>1544</v>
      </c>
      <c r="M142" s="98">
        <v>1464</v>
      </c>
      <c r="N142" s="98">
        <v>1.4</v>
      </c>
      <c r="O142" s="98">
        <v>106</v>
      </c>
      <c r="P142" s="98">
        <v>21274</v>
      </c>
    </row>
    <row r="143" spans="1:16">
      <c r="A143" s="55" t="s">
        <v>483</v>
      </c>
      <c r="B143" s="55">
        <v>5804</v>
      </c>
      <c r="C143" s="56" t="s">
        <v>673</v>
      </c>
      <c r="D143" s="59">
        <v>5741.8</v>
      </c>
      <c r="E143" s="58">
        <v>1006</v>
      </c>
      <c r="F143" s="56">
        <v>645</v>
      </c>
      <c r="G143" s="57">
        <v>524</v>
      </c>
      <c r="H143" s="57">
        <v>731.27</v>
      </c>
      <c r="I143" s="57">
        <v>83</v>
      </c>
      <c r="J143" s="57">
        <v>106</v>
      </c>
      <c r="K143" s="56">
        <v>7</v>
      </c>
      <c r="L143" s="56">
        <v>1591</v>
      </c>
      <c r="M143" s="98">
        <v>1492</v>
      </c>
      <c r="N143" s="98">
        <v>6.4</v>
      </c>
      <c r="O143" s="98">
        <v>142</v>
      </c>
      <c r="P143" s="98">
        <v>1218</v>
      </c>
    </row>
    <row r="144" spans="1:16">
      <c r="A144" s="55" t="s">
        <v>639</v>
      </c>
      <c r="B144" s="55">
        <v>5806</v>
      </c>
      <c r="C144" s="56" t="s">
        <v>673</v>
      </c>
      <c r="D144" s="59">
        <v>9782.5560000000005</v>
      </c>
      <c r="E144" s="58">
        <v>735</v>
      </c>
      <c r="F144" s="56">
        <v>241</v>
      </c>
      <c r="G144" s="57">
        <v>10</v>
      </c>
      <c r="H144" s="57">
        <v>683.6</v>
      </c>
      <c r="I144" s="57">
        <v>63</v>
      </c>
      <c r="J144" s="57">
        <v>224</v>
      </c>
      <c r="K144" s="56">
        <v>17</v>
      </c>
      <c r="L144" s="56">
        <v>2949</v>
      </c>
      <c r="M144" s="98">
        <v>2784</v>
      </c>
      <c r="N144" s="98">
        <v>7.2</v>
      </c>
      <c r="O144" s="98">
        <v>405</v>
      </c>
      <c r="P144" s="98">
        <v>20082</v>
      </c>
    </row>
    <row r="145" spans="1:16">
      <c r="A145" s="55" t="s">
        <v>687</v>
      </c>
      <c r="B145" s="55">
        <v>5585</v>
      </c>
      <c r="C145" s="56" t="s">
        <v>676</v>
      </c>
      <c r="D145" s="59">
        <v>0</v>
      </c>
      <c r="E145" s="58">
        <v>73</v>
      </c>
      <c r="F145" s="56">
        <v>19</v>
      </c>
      <c r="G145" s="57">
        <v>0</v>
      </c>
      <c r="H145" s="57">
        <v>0</v>
      </c>
      <c r="I145" s="57">
        <v>0</v>
      </c>
      <c r="J145" s="57">
        <v>0</v>
      </c>
      <c r="K145" s="56">
        <v>0</v>
      </c>
      <c r="L145" s="56">
        <v>1423</v>
      </c>
      <c r="M145" s="98">
        <v>1367</v>
      </c>
      <c r="N145" s="98">
        <v>4</v>
      </c>
      <c r="O145" s="98">
        <v>73</v>
      </c>
      <c r="P145" s="98">
        <v>9418</v>
      </c>
    </row>
    <row r="146" spans="1:16">
      <c r="A146" s="55" t="s">
        <v>484</v>
      </c>
      <c r="B146" s="55">
        <v>5754</v>
      </c>
      <c r="C146" s="56" t="s">
        <v>673</v>
      </c>
      <c r="D146" s="59">
        <v>917.36400000000003</v>
      </c>
      <c r="E146" s="58">
        <v>433</v>
      </c>
      <c r="F146" s="56">
        <v>469</v>
      </c>
      <c r="G146" s="57">
        <v>288</v>
      </c>
      <c r="H146" s="57">
        <v>257.7</v>
      </c>
      <c r="I146" s="57">
        <v>6</v>
      </c>
      <c r="J146" s="57">
        <v>7</v>
      </c>
      <c r="K146" s="56">
        <v>18</v>
      </c>
      <c r="L146" s="56">
        <v>328</v>
      </c>
      <c r="M146" s="98">
        <v>310</v>
      </c>
      <c r="N146" s="98">
        <v>0.8</v>
      </c>
      <c r="O146" s="98">
        <v>15</v>
      </c>
      <c r="P146" s="98">
        <v>1385</v>
      </c>
    </row>
    <row r="147" spans="1:16">
      <c r="A147" s="55" t="s">
        <v>688</v>
      </c>
      <c r="B147" s="55">
        <v>5871</v>
      </c>
      <c r="C147" s="56" t="s">
        <v>677</v>
      </c>
      <c r="D147" s="59">
        <v>0</v>
      </c>
      <c r="E147" s="58">
        <v>1072</v>
      </c>
      <c r="F147" s="56">
        <v>1935</v>
      </c>
      <c r="G147" s="57">
        <v>5</v>
      </c>
      <c r="H147" s="57">
        <v>353.29</v>
      </c>
      <c r="I147" s="57">
        <v>16</v>
      </c>
      <c r="J147" s="57">
        <v>8</v>
      </c>
      <c r="K147" s="56">
        <v>14</v>
      </c>
      <c r="L147" s="56">
        <v>1481</v>
      </c>
      <c r="M147" s="98">
        <v>1397</v>
      </c>
      <c r="N147" s="98">
        <v>198.2</v>
      </c>
      <c r="O147" s="98">
        <v>190</v>
      </c>
      <c r="P147" s="98">
        <v>9303</v>
      </c>
    </row>
    <row r="148" spans="1:16">
      <c r="A148" s="55" t="s">
        <v>637</v>
      </c>
      <c r="B148" s="55">
        <v>5741</v>
      </c>
      <c r="C148" s="56" t="s">
        <v>673</v>
      </c>
      <c r="D148" s="59">
        <v>722.03599999999994</v>
      </c>
      <c r="E148" s="58">
        <v>228</v>
      </c>
      <c r="F148" s="56">
        <v>318</v>
      </c>
      <c r="G148" s="57">
        <v>2</v>
      </c>
      <c r="H148" s="57">
        <v>84.17</v>
      </c>
      <c r="I148" s="57">
        <v>9</v>
      </c>
      <c r="J148" s="57">
        <v>16</v>
      </c>
      <c r="K148" s="56">
        <v>0</v>
      </c>
      <c r="L148" s="56">
        <v>244</v>
      </c>
      <c r="M148" s="98">
        <v>233</v>
      </c>
      <c r="N148" s="98">
        <v>1.8</v>
      </c>
      <c r="O148" s="98">
        <v>15</v>
      </c>
      <c r="P148" s="98">
        <v>1141</v>
      </c>
    </row>
    <row r="149" spans="1:16">
      <c r="A149" s="55" t="s">
        <v>635</v>
      </c>
      <c r="B149" s="55">
        <v>5486</v>
      </c>
      <c r="C149" s="56" t="s">
        <v>673</v>
      </c>
      <c r="D149" s="59">
        <v>5158.8289999999997</v>
      </c>
      <c r="E149" s="58">
        <v>772</v>
      </c>
      <c r="F149" s="56">
        <v>753</v>
      </c>
      <c r="G149" s="57">
        <v>204</v>
      </c>
      <c r="H149" s="57">
        <v>520.95000000000005</v>
      </c>
      <c r="I149" s="57">
        <v>39</v>
      </c>
      <c r="J149" s="57">
        <v>23</v>
      </c>
      <c r="K149" s="56">
        <v>5</v>
      </c>
      <c r="L149" s="56">
        <v>1011</v>
      </c>
      <c r="M149" s="98">
        <v>956</v>
      </c>
      <c r="N149" s="98">
        <v>22.6</v>
      </c>
      <c r="O149" s="98">
        <v>141</v>
      </c>
      <c r="P149" s="98">
        <v>6550</v>
      </c>
    </row>
    <row r="150" spans="1:16">
      <c r="A150" s="55" t="s">
        <v>485</v>
      </c>
      <c r="B150" s="55">
        <v>5474</v>
      </c>
      <c r="C150" s="56" t="s">
        <v>673</v>
      </c>
      <c r="D150" s="59">
        <v>1486.067</v>
      </c>
      <c r="E150" s="58">
        <v>512</v>
      </c>
      <c r="F150" s="56">
        <v>118</v>
      </c>
      <c r="G150" s="57">
        <v>364</v>
      </c>
      <c r="H150" s="57">
        <v>181.57</v>
      </c>
      <c r="I150" s="57">
        <v>20</v>
      </c>
      <c r="J150" s="57">
        <v>54</v>
      </c>
      <c r="K150" s="56">
        <v>14</v>
      </c>
      <c r="L150" s="56">
        <v>395</v>
      </c>
      <c r="M150" s="98">
        <v>378</v>
      </c>
      <c r="N150" s="98">
        <v>0.9</v>
      </c>
      <c r="O150" s="98">
        <v>31</v>
      </c>
      <c r="P150" s="98">
        <v>1939</v>
      </c>
    </row>
    <row r="151" spans="1:16">
      <c r="A151" s="55" t="s">
        <v>486</v>
      </c>
      <c r="B151" s="55">
        <v>5758</v>
      </c>
      <c r="C151" s="56" t="s">
        <v>673</v>
      </c>
      <c r="D151" s="59">
        <v>702.15</v>
      </c>
      <c r="E151" s="58">
        <v>233</v>
      </c>
      <c r="F151" s="56">
        <v>260</v>
      </c>
      <c r="G151" s="57">
        <v>217</v>
      </c>
      <c r="H151" s="57">
        <v>190.1</v>
      </c>
      <c r="I151" s="57">
        <v>13</v>
      </c>
      <c r="J151" s="57">
        <v>3</v>
      </c>
      <c r="K151" s="56">
        <v>12</v>
      </c>
      <c r="L151" s="56">
        <v>165</v>
      </c>
      <c r="M151" s="98">
        <v>156</v>
      </c>
      <c r="N151" s="98">
        <v>1.8</v>
      </c>
      <c r="O151" s="98">
        <v>3</v>
      </c>
      <c r="P151" s="98">
        <v>518</v>
      </c>
    </row>
    <row r="152" spans="1:16">
      <c r="A152" s="55" t="s">
        <v>487</v>
      </c>
      <c r="B152" s="55">
        <v>5726</v>
      </c>
      <c r="C152" s="56" t="s">
        <v>673</v>
      </c>
      <c r="D152" s="59">
        <v>4726.7110000000002</v>
      </c>
      <c r="E152" s="58">
        <v>566</v>
      </c>
      <c r="F152" s="56">
        <v>1014</v>
      </c>
      <c r="G152" s="57">
        <v>0</v>
      </c>
      <c r="H152" s="57">
        <v>308.49</v>
      </c>
      <c r="I152" s="57">
        <v>98</v>
      </c>
      <c r="J152" s="57">
        <v>7</v>
      </c>
      <c r="K152" s="56">
        <v>9</v>
      </c>
      <c r="L152" s="56">
        <v>1136</v>
      </c>
      <c r="M152" s="98">
        <v>1074</v>
      </c>
      <c r="N152" s="98">
        <v>23.1</v>
      </c>
      <c r="O152" s="98">
        <v>58</v>
      </c>
      <c r="P152" s="98">
        <v>1338</v>
      </c>
    </row>
    <row r="153" spans="1:16">
      <c r="A153" s="55" t="s">
        <v>488</v>
      </c>
      <c r="B153" s="55">
        <v>5498</v>
      </c>
      <c r="C153" s="56" t="s">
        <v>675</v>
      </c>
      <c r="D153" s="59">
        <v>8520.4570000000003</v>
      </c>
      <c r="E153" s="58">
        <v>364</v>
      </c>
      <c r="F153" s="56">
        <v>298</v>
      </c>
      <c r="G153" s="57">
        <v>0</v>
      </c>
      <c r="H153" s="57">
        <v>118.62</v>
      </c>
      <c r="I153" s="57">
        <v>18</v>
      </c>
      <c r="J153" s="57">
        <v>78</v>
      </c>
      <c r="K153" s="56">
        <v>0</v>
      </c>
      <c r="L153" s="56">
        <v>2651</v>
      </c>
      <c r="M153" s="98">
        <v>2502</v>
      </c>
      <c r="N153" s="98">
        <v>21.5</v>
      </c>
      <c r="O153" s="98">
        <v>237</v>
      </c>
      <c r="P153" s="98">
        <v>10902</v>
      </c>
    </row>
    <row r="154" spans="1:16">
      <c r="A154" s="55" t="s">
        <v>638</v>
      </c>
      <c r="B154" s="55">
        <v>5889</v>
      </c>
      <c r="C154" s="56" t="s">
        <v>678</v>
      </c>
      <c r="D154" s="59">
        <v>31310.329000000002</v>
      </c>
      <c r="E154" s="58">
        <v>76</v>
      </c>
      <c r="F154" s="56">
        <v>10</v>
      </c>
      <c r="G154" s="57">
        <v>6</v>
      </c>
      <c r="H154" s="57">
        <v>40.56</v>
      </c>
      <c r="I154" s="57">
        <v>50</v>
      </c>
      <c r="J154" s="57">
        <v>0</v>
      </c>
      <c r="K154" s="56">
        <v>7</v>
      </c>
      <c r="L154" s="56">
        <v>11906</v>
      </c>
      <c r="M154" s="98">
        <v>11332</v>
      </c>
      <c r="N154" s="98">
        <v>76.400000000000006</v>
      </c>
      <c r="O154" s="98">
        <v>1881</v>
      </c>
      <c r="P154" s="98">
        <v>20324</v>
      </c>
    </row>
    <row r="155" spans="1:16">
      <c r="A155" s="55" t="s">
        <v>324</v>
      </c>
      <c r="B155" s="55">
        <v>5586</v>
      </c>
      <c r="C155" s="56" t="s">
        <v>679</v>
      </c>
      <c r="D155" s="59">
        <v>0</v>
      </c>
      <c r="E155" s="58">
        <v>622</v>
      </c>
      <c r="F155" s="56">
        <v>1606</v>
      </c>
      <c r="G155" s="57">
        <v>0</v>
      </c>
      <c r="H155" s="57">
        <v>347.3</v>
      </c>
      <c r="I155" s="57">
        <v>153</v>
      </c>
      <c r="J155" s="57">
        <v>150</v>
      </c>
      <c r="K155" s="56">
        <v>11</v>
      </c>
      <c r="L155" s="56">
        <v>139726</v>
      </c>
      <c r="M155" s="98">
        <v>132195</v>
      </c>
      <c r="N155" s="98">
        <v>5935.1</v>
      </c>
      <c r="O155" s="98">
        <v>61750</v>
      </c>
      <c r="P155" s="98">
        <v>562134</v>
      </c>
    </row>
    <row r="156" spans="1:16">
      <c r="A156" s="55" t="s">
        <v>489</v>
      </c>
      <c r="B156" s="55">
        <v>5406</v>
      </c>
      <c r="C156" s="56" t="s">
        <v>673</v>
      </c>
      <c r="D156" s="59">
        <v>0</v>
      </c>
      <c r="E156" s="58">
        <v>254</v>
      </c>
      <c r="F156" s="56">
        <v>900</v>
      </c>
      <c r="G156" s="57">
        <v>0</v>
      </c>
      <c r="H156" s="57">
        <v>134.58000000000001</v>
      </c>
      <c r="I156" s="57">
        <v>10</v>
      </c>
      <c r="J156" s="57">
        <v>39</v>
      </c>
      <c r="K156" s="56">
        <v>6</v>
      </c>
      <c r="L156" s="56">
        <v>931</v>
      </c>
      <c r="M156" s="98">
        <v>886</v>
      </c>
      <c r="N156" s="98">
        <v>4.2</v>
      </c>
      <c r="O156" s="98">
        <v>195</v>
      </c>
      <c r="P156" s="98">
        <v>1669</v>
      </c>
    </row>
    <row r="157" spans="1:16">
      <c r="A157" s="55" t="s">
        <v>490</v>
      </c>
      <c r="B157" s="55">
        <v>5637</v>
      </c>
      <c r="C157" s="56" t="s">
        <v>673</v>
      </c>
      <c r="D157" s="59">
        <v>4593.6859999999997</v>
      </c>
      <c r="E157" s="58">
        <v>315</v>
      </c>
      <c r="F157" s="56">
        <v>20</v>
      </c>
      <c r="G157" s="57">
        <v>0</v>
      </c>
      <c r="H157" s="57">
        <v>29.09</v>
      </c>
      <c r="I157" s="57">
        <v>32</v>
      </c>
      <c r="J157" s="57">
        <v>19</v>
      </c>
      <c r="K157" s="56">
        <v>0</v>
      </c>
      <c r="L157" s="56">
        <v>992</v>
      </c>
      <c r="M157" s="98">
        <v>949</v>
      </c>
      <c r="N157" s="98">
        <v>118.9</v>
      </c>
      <c r="O157" s="98">
        <v>542</v>
      </c>
      <c r="P157" s="98">
        <v>2554</v>
      </c>
    </row>
    <row r="158" spans="1:16">
      <c r="A158" s="55" t="s">
        <v>491</v>
      </c>
      <c r="B158" s="55">
        <v>5872</v>
      </c>
      <c r="C158" s="56" t="s">
        <v>677</v>
      </c>
      <c r="D158" s="59">
        <v>0</v>
      </c>
      <c r="E158" s="58">
        <v>2763</v>
      </c>
      <c r="F158" s="56">
        <v>6669</v>
      </c>
      <c r="G158" s="57">
        <v>688</v>
      </c>
      <c r="H158" s="57">
        <v>1045.8699999999999</v>
      </c>
      <c r="I158" s="57">
        <v>41</v>
      </c>
      <c r="J158" s="57">
        <v>38</v>
      </c>
      <c r="K158" s="56">
        <v>12</v>
      </c>
      <c r="L158" s="56">
        <v>4657</v>
      </c>
      <c r="M158" s="98">
        <v>4426</v>
      </c>
      <c r="N158" s="98">
        <v>3334.6</v>
      </c>
      <c r="O158" s="98">
        <v>860</v>
      </c>
      <c r="P158" s="98">
        <v>39860</v>
      </c>
    </row>
    <row r="159" spans="1:16">
      <c r="A159" s="55" t="s">
        <v>492</v>
      </c>
      <c r="B159" s="55">
        <v>5873</v>
      </c>
      <c r="C159" s="56" t="s">
        <v>677</v>
      </c>
      <c r="D159" s="59">
        <v>0</v>
      </c>
      <c r="E159" s="58">
        <v>1116</v>
      </c>
      <c r="F159" s="56">
        <v>1940</v>
      </c>
      <c r="G159" s="57">
        <v>756</v>
      </c>
      <c r="H159" s="57">
        <v>488.98</v>
      </c>
      <c r="I159" s="57">
        <v>23</v>
      </c>
      <c r="J159" s="57">
        <v>16</v>
      </c>
      <c r="K159" s="56">
        <v>0</v>
      </c>
      <c r="L159" s="56">
        <v>900</v>
      </c>
      <c r="M159" s="98">
        <v>854</v>
      </c>
      <c r="N159" s="98">
        <v>282.8</v>
      </c>
      <c r="O159" s="98">
        <v>200</v>
      </c>
      <c r="P159" s="98">
        <v>2741</v>
      </c>
    </row>
    <row r="160" spans="1:16">
      <c r="A160" s="55" t="s">
        <v>689</v>
      </c>
      <c r="B160" s="55">
        <v>5587</v>
      </c>
      <c r="C160" s="56" t="s">
        <v>676</v>
      </c>
      <c r="D160" s="59">
        <v>0</v>
      </c>
      <c r="E160" s="58">
        <v>466</v>
      </c>
      <c r="F160" s="56">
        <v>176</v>
      </c>
      <c r="G160" s="57">
        <v>8</v>
      </c>
      <c r="H160" s="57">
        <v>205.05</v>
      </c>
      <c r="I160" s="57">
        <v>121</v>
      </c>
      <c r="J160" s="57">
        <v>75</v>
      </c>
      <c r="K160" s="56">
        <v>16</v>
      </c>
      <c r="L160" s="56">
        <v>8991</v>
      </c>
      <c r="M160" s="98">
        <v>8423</v>
      </c>
      <c r="N160" s="98">
        <v>276.8</v>
      </c>
      <c r="O160" s="98">
        <v>5986</v>
      </c>
      <c r="P160" s="98">
        <v>29683</v>
      </c>
    </row>
    <row r="161" spans="1:16">
      <c r="A161" s="55" t="s">
        <v>244</v>
      </c>
      <c r="B161" s="55">
        <v>5731</v>
      </c>
      <c r="C161" s="56" t="s">
        <v>673</v>
      </c>
      <c r="D161" s="59">
        <v>5278.4830000000002</v>
      </c>
      <c r="E161" s="58">
        <v>148</v>
      </c>
      <c r="F161" s="56">
        <v>97</v>
      </c>
      <c r="G161" s="57">
        <v>0</v>
      </c>
      <c r="H161" s="57">
        <v>219.43</v>
      </c>
      <c r="I161" s="57">
        <v>13</v>
      </c>
      <c r="J161" s="57">
        <v>24</v>
      </c>
      <c r="K161" s="56">
        <v>9</v>
      </c>
      <c r="L161" s="56">
        <v>1362</v>
      </c>
      <c r="M161" s="98">
        <v>1295</v>
      </c>
      <c r="N161" s="98">
        <v>16.8</v>
      </c>
      <c r="O161" s="98">
        <v>76</v>
      </c>
      <c r="P161" s="98">
        <v>8899</v>
      </c>
    </row>
    <row r="162" spans="1:16">
      <c r="A162" s="55" t="s">
        <v>636</v>
      </c>
      <c r="B162" s="55">
        <v>5750</v>
      </c>
      <c r="C162" s="56" t="s">
        <v>673</v>
      </c>
      <c r="D162" s="59">
        <v>642.77099999999996</v>
      </c>
      <c r="E162" s="58">
        <v>162</v>
      </c>
      <c r="F162" s="56">
        <v>496</v>
      </c>
      <c r="G162" s="57">
        <v>2</v>
      </c>
      <c r="H162" s="57">
        <v>96.89</v>
      </c>
      <c r="I162" s="57">
        <v>2</v>
      </c>
      <c r="J162" s="57">
        <v>3</v>
      </c>
      <c r="K162" s="56">
        <v>0</v>
      </c>
      <c r="L162" s="56">
        <v>185</v>
      </c>
      <c r="M162" s="98">
        <v>177</v>
      </c>
      <c r="N162" s="98">
        <v>0.9</v>
      </c>
      <c r="O162" s="98">
        <v>4</v>
      </c>
      <c r="P162" s="98">
        <v>1304</v>
      </c>
    </row>
    <row r="163" spans="1:16">
      <c r="A163" s="55" t="s">
        <v>493</v>
      </c>
      <c r="B163" s="55">
        <v>5407</v>
      </c>
      <c r="C163" s="56" t="s">
        <v>677</v>
      </c>
      <c r="D163" s="59">
        <v>19362.656999999999</v>
      </c>
      <c r="E163" s="58">
        <v>627</v>
      </c>
      <c r="F163" s="56">
        <v>700</v>
      </c>
      <c r="G163" s="57">
        <v>11</v>
      </c>
      <c r="H163" s="57">
        <v>202.02</v>
      </c>
      <c r="I163" s="57">
        <v>61</v>
      </c>
      <c r="J163" s="57">
        <v>135</v>
      </c>
      <c r="K163" s="56">
        <v>35</v>
      </c>
      <c r="L163" s="56">
        <v>3776</v>
      </c>
      <c r="M163" s="98">
        <v>3659</v>
      </c>
      <c r="N163" s="98">
        <v>23.7</v>
      </c>
      <c r="O163" s="98">
        <v>296</v>
      </c>
      <c r="P163" s="98">
        <v>6132</v>
      </c>
    </row>
    <row r="164" spans="1:16">
      <c r="A164" s="55" t="s">
        <v>494</v>
      </c>
      <c r="B164" s="55">
        <v>5755</v>
      </c>
      <c r="C164" s="56" t="s">
        <v>673</v>
      </c>
      <c r="D164" s="59">
        <v>1582.6</v>
      </c>
      <c r="E164" s="58">
        <v>507</v>
      </c>
      <c r="F164" s="56">
        <v>499</v>
      </c>
      <c r="G164" s="57">
        <v>3</v>
      </c>
      <c r="H164" s="57">
        <v>254.62</v>
      </c>
      <c r="I164" s="57">
        <v>10</v>
      </c>
      <c r="J164" s="57">
        <v>45</v>
      </c>
      <c r="K164" s="56">
        <v>3</v>
      </c>
      <c r="L164" s="56">
        <v>437</v>
      </c>
      <c r="M164" s="98">
        <v>409</v>
      </c>
      <c r="N164" s="98">
        <v>9.5</v>
      </c>
      <c r="O164" s="98">
        <v>19</v>
      </c>
      <c r="P164" s="98">
        <v>1651</v>
      </c>
    </row>
    <row r="165" spans="1:16">
      <c r="A165" s="55" t="s">
        <v>495</v>
      </c>
      <c r="B165" s="55">
        <v>5638</v>
      </c>
      <c r="C165" s="56" t="s">
        <v>676</v>
      </c>
      <c r="D165" s="59">
        <v>13095.661</v>
      </c>
      <c r="E165" s="58">
        <v>220</v>
      </c>
      <c r="F165" s="56">
        <v>28</v>
      </c>
      <c r="G165" s="57">
        <v>0</v>
      </c>
      <c r="H165" s="57">
        <v>0</v>
      </c>
      <c r="I165" s="57">
        <v>4</v>
      </c>
      <c r="J165" s="57">
        <v>0</v>
      </c>
      <c r="K165" s="56">
        <v>0</v>
      </c>
      <c r="L165" s="56">
        <v>2676</v>
      </c>
      <c r="M165" s="98">
        <v>2556</v>
      </c>
      <c r="N165" s="98">
        <v>135</v>
      </c>
      <c r="O165" s="98">
        <v>1264</v>
      </c>
      <c r="P165" s="98">
        <v>18134</v>
      </c>
    </row>
    <row r="166" spans="1:16">
      <c r="A166" s="55" t="s">
        <v>496</v>
      </c>
      <c r="B166" s="55">
        <v>5429</v>
      </c>
      <c r="C166" s="56" t="s">
        <v>673</v>
      </c>
      <c r="D166" s="59">
        <v>1937.356</v>
      </c>
      <c r="E166" s="58">
        <v>370</v>
      </c>
      <c r="F166" s="56">
        <v>543</v>
      </c>
      <c r="G166" s="57">
        <v>272</v>
      </c>
      <c r="H166" s="57">
        <v>463.22</v>
      </c>
      <c r="I166" s="57">
        <v>38</v>
      </c>
      <c r="J166" s="57">
        <v>101</v>
      </c>
      <c r="K166" s="56">
        <v>7</v>
      </c>
      <c r="L166" s="56">
        <v>482</v>
      </c>
      <c r="M166" s="98">
        <v>455</v>
      </c>
      <c r="N166" s="98">
        <v>3.1</v>
      </c>
      <c r="O166" s="98">
        <v>13</v>
      </c>
      <c r="P166" s="98">
        <v>2424</v>
      </c>
    </row>
    <row r="167" spans="1:16">
      <c r="A167" s="55" t="s">
        <v>497</v>
      </c>
      <c r="B167" s="55">
        <v>5674</v>
      </c>
      <c r="C167" s="56" t="s">
        <v>673</v>
      </c>
      <c r="D167" s="59">
        <v>478.42899999999997</v>
      </c>
      <c r="E167" s="58">
        <v>272</v>
      </c>
      <c r="F167" s="56">
        <v>62</v>
      </c>
      <c r="G167" s="57">
        <v>0</v>
      </c>
      <c r="H167" s="57">
        <v>170.62</v>
      </c>
      <c r="I167" s="57">
        <v>4</v>
      </c>
      <c r="J167" s="57">
        <v>0</v>
      </c>
      <c r="K167" s="56">
        <v>0</v>
      </c>
      <c r="L167" s="56">
        <v>136</v>
      </c>
      <c r="M167" s="98">
        <v>131</v>
      </c>
      <c r="N167" s="98">
        <v>0</v>
      </c>
      <c r="O167" s="98">
        <v>0</v>
      </c>
      <c r="P167" s="98">
        <v>350</v>
      </c>
    </row>
    <row r="168" spans="1:16">
      <c r="A168" s="55" t="s">
        <v>498</v>
      </c>
      <c r="B168" s="55">
        <v>5675</v>
      </c>
      <c r="C168" s="56" t="s">
        <v>675</v>
      </c>
      <c r="D168" s="59">
        <v>67801.421000000002</v>
      </c>
      <c r="E168" s="58">
        <v>1138</v>
      </c>
      <c r="F168" s="56">
        <v>539</v>
      </c>
      <c r="G168" s="57">
        <v>1</v>
      </c>
      <c r="H168" s="57">
        <v>1102.1600000000001</v>
      </c>
      <c r="I168" s="57">
        <v>93</v>
      </c>
      <c r="J168" s="57">
        <v>84</v>
      </c>
      <c r="K168" s="56">
        <v>24</v>
      </c>
      <c r="L168" s="56">
        <v>4220</v>
      </c>
      <c r="M168" s="98">
        <v>3962</v>
      </c>
      <c r="N168" s="98">
        <v>14</v>
      </c>
      <c r="O168" s="98">
        <v>582</v>
      </c>
      <c r="P168" s="98">
        <v>12279</v>
      </c>
    </row>
    <row r="169" spans="1:16">
      <c r="A169" s="55" t="s">
        <v>499</v>
      </c>
      <c r="B169" s="55">
        <v>5858</v>
      </c>
      <c r="C169" s="56" t="s">
        <v>673</v>
      </c>
      <c r="D169" s="59">
        <v>2818.857</v>
      </c>
      <c r="E169" s="58">
        <v>195</v>
      </c>
      <c r="F169" s="56">
        <v>29</v>
      </c>
      <c r="G169" s="57">
        <v>8</v>
      </c>
      <c r="H169" s="57">
        <v>0</v>
      </c>
      <c r="I169" s="57">
        <v>7</v>
      </c>
      <c r="J169" s="57">
        <v>0</v>
      </c>
      <c r="K169" s="56">
        <v>0</v>
      </c>
      <c r="L169" s="56">
        <v>621</v>
      </c>
      <c r="M169" s="98">
        <v>589</v>
      </c>
      <c r="N169" s="98">
        <v>4.4000000000000004</v>
      </c>
      <c r="O169" s="98">
        <v>42</v>
      </c>
      <c r="P169" s="98">
        <v>3787</v>
      </c>
    </row>
    <row r="170" spans="1:16">
      <c r="A170" s="55" t="s">
        <v>634</v>
      </c>
      <c r="B170" s="55">
        <v>5639</v>
      </c>
      <c r="C170" s="56" t="s">
        <v>673</v>
      </c>
      <c r="D170" s="59">
        <v>2636.3</v>
      </c>
      <c r="E170" s="58">
        <v>131</v>
      </c>
      <c r="F170" s="56">
        <v>28</v>
      </c>
      <c r="G170" s="57">
        <v>2</v>
      </c>
      <c r="H170" s="57">
        <v>32.46</v>
      </c>
      <c r="I170" s="57">
        <v>0</v>
      </c>
      <c r="J170" s="57">
        <v>0</v>
      </c>
      <c r="K170" s="56">
        <v>5</v>
      </c>
      <c r="L170" s="56">
        <v>818</v>
      </c>
      <c r="M170" s="98">
        <v>766</v>
      </c>
      <c r="N170" s="98">
        <v>16.5</v>
      </c>
      <c r="O170" s="98">
        <v>97</v>
      </c>
      <c r="P170" s="98">
        <v>4531</v>
      </c>
    </row>
    <row r="171" spans="1:16">
      <c r="A171" s="55" t="s">
        <v>500</v>
      </c>
      <c r="B171" s="55">
        <v>5487</v>
      </c>
      <c r="C171" s="56" t="s">
        <v>673</v>
      </c>
      <c r="D171" s="59">
        <v>1114.8789999999999</v>
      </c>
      <c r="E171" s="58">
        <v>306</v>
      </c>
      <c r="F171" s="56">
        <v>36</v>
      </c>
      <c r="G171" s="57">
        <v>500</v>
      </c>
      <c r="H171" s="57">
        <v>88.81</v>
      </c>
      <c r="I171" s="57">
        <v>45</v>
      </c>
      <c r="J171" s="57">
        <v>1</v>
      </c>
      <c r="K171" s="56">
        <v>0</v>
      </c>
      <c r="L171" s="56">
        <v>459</v>
      </c>
      <c r="M171" s="98">
        <v>431</v>
      </c>
      <c r="N171" s="98">
        <v>0.9</v>
      </c>
      <c r="O171" s="98">
        <v>10</v>
      </c>
      <c r="P171" s="98">
        <v>2390</v>
      </c>
    </row>
    <row r="172" spans="1:16">
      <c r="A172" s="55" t="s">
        <v>633</v>
      </c>
      <c r="B172" s="55">
        <v>5640</v>
      </c>
      <c r="C172" s="56" t="s">
        <v>673</v>
      </c>
      <c r="D172" s="59">
        <v>2296.5940000000001</v>
      </c>
      <c r="E172" s="58">
        <v>170</v>
      </c>
      <c r="F172" s="56">
        <v>32</v>
      </c>
      <c r="G172" s="57">
        <v>2</v>
      </c>
      <c r="H172" s="57">
        <v>30.37</v>
      </c>
      <c r="I172" s="57">
        <v>0</v>
      </c>
      <c r="J172" s="57">
        <v>0</v>
      </c>
      <c r="K172" s="56">
        <v>0</v>
      </c>
      <c r="L172" s="56">
        <v>696</v>
      </c>
      <c r="M172" s="98">
        <v>656</v>
      </c>
      <c r="N172" s="98">
        <v>14.8</v>
      </c>
      <c r="O172" s="98">
        <v>98</v>
      </c>
      <c r="P172" s="98">
        <v>8655</v>
      </c>
    </row>
    <row r="173" spans="1:16">
      <c r="A173" s="55" t="s">
        <v>501</v>
      </c>
      <c r="B173" s="55">
        <v>5606</v>
      </c>
      <c r="C173" s="56" t="s">
        <v>676</v>
      </c>
      <c r="D173" s="59">
        <v>241.90700000000001</v>
      </c>
      <c r="E173" s="58">
        <v>350</v>
      </c>
      <c r="F173" s="56">
        <v>172</v>
      </c>
      <c r="G173" s="57">
        <v>0</v>
      </c>
      <c r="H173" s="57">
        <v>61.11</v>
      </c>
      <c r="I173" s="57">
        <v>10</v>
      </c>
      <c r="J173" s="57">
        <v>4</v>
      </c>
      <c r="K173" s="56">
        <v>0</v>
      </c>
      <c r="L173" s="56">
        <v>10357</v>
      </c>
      <c r="M173" s="98">
        <v>9885</v>
      </c>
      <c r="N173" s="98">
        <v>88.2</v>
      </c>
      <c r="O173" s="98">
        <v>1767</v>
      </c>
      <c r="P173" s="98">
        <v>76781</v>
      </c>
    </row>
    <row r="174" spans="1:16">
      <c r="A174" s="55" t="s">
        <v>502</v>
      </c>
      <c r="B174" s="55">
        <v>5790</v>
      </c>
      <c r="C174" s="56" t="s">
        <v>673</v>
      </c>
      <c r="D174" s="59">
        <v>0</v>
      </c>
      <c r="E174" s="58">
        <v>295</v>
      </c>
      <c r="F174" s="56">
        <v>100</v>
      </c>
      <c r="G174" s="57">
        <v>0</v>
      </c>
      <c r="H174" s="57">
        <v>297.22000000000003</v>
      </c>
      <c r="I174" s="57">
        <v>36</v>
      </c>
      <c r="J174" s="57">
        <v>34</v>
      </c>
      <c r="K174" s="56">
        <v>18</v>
      </c>
      <c r="L174" s="56">
        <v>538</v>
      </c>
      <c r="M174" s="98">
        <v>501</v>
      </c>
      <c r="N174" s="98">
        <v>1.7</v>
      </c>
      <c r="O174" s="98">
        <v>35</v>
      </c>
      <c r="P174" s="98">
        <v>3862</v>
      </c>
    </row>
    <row r="175" spans="1:16">
      <c r="A175" s="55" t="s">
        <v>503</v>
      </c>
      <c r="B175" s="55">
        <v>5430</v>
      </c>
      <c r="C175" s="56" t="s">
        <v>673</v>
      </c>
      <c r="D175" s="59">
        <v>1718.922</v>
      </c>
      <c r="E175" s="58">
        <v>369</v>
      </c>
      <c r="F175" s="56">
        <v>787</v>
      </c>
      <c r="G175" s="57">
        <v>0</v>
      </c>
      <c r="H175" s="57">
        <v>301.76</v>
      </c>
      <c r="I175" s="57">
        <v>22</v>
      </c>
      <c r="J175" s="57">
        <v>0</v>
      </c>
      <c r="K175" s="56">
        <v>0</v>
      </c>
      <c r="L175" s="56">
        <v>472</v>
      </c>
      <c r="M175" s="98">
        <v>451</v>
      </c>
      <c r="N175" s="98">
        <v>1.6</v>
      </c>
      <c r="O175" s="98">
        <v>23</v>
      </c>
      <c r="P175" s="98">
        <v>384</v>
      </c>
    </row>
    <row r="176" spans="1:16">
      <c r="A176" s="55" t="s">
        <v>504</v>
      </c>
      <c r="B176" s="55">
        <v>5919</v>
      </c>
      <c r="C176" s="56" t="s">
        <v>673</v>
      </c>
      <c r="D176" s="59">
        <v>2948.6610000000001</v>
      </c>
      <c r="E176" s="58">
        <v>559</v>
      </c>
      <c r="F176" s="56">
        <v>55</v>
      </c>
      <c r="G176" s="57">
        <v>0</v>
      </c>
      <c r="H176" s="57">
        <v>351.39</v>
      </c>
      <c r="I176" s="57">
        <v>3</v>
      </c>
      <c r="J176" s="57">
        <v>24</v>
      </c>
      <c r="K176" s="56">
        <v>0</v>
      </c>
      <c r="L176" s="56">
        <v>601</v>
      </c>
      <c r="M176" s="98">
        <v>567</v>
      </c>
      <c r="N176" s="98">
        <v>3</v>
      </c>
      <c r="O176" s="98">
        <v>57</v>
      </c>
      <c r="P176" s="98">
        <v>2745</v>
      </c>
    </row>
    <row r="177" spans="1:16">
      <c r="A177" s="55" t="s">
        <v>505</v>
      </c>
      <c r="B177" s="55">
        <v>5562</v>
      </c>
      <c r="C177" s="56" t="s">
        <v>673</v>
      </c>
      <c r="D177" s="59">
        <v>658.54399999999998</v>
      </c>
      <c r="E177" s="58">
        <v>136</v>
      </c>
      <c r="F177" s="56">
        <v>392</v>
      </c>
      <c r="G177" s="57">
        <v>0</v>
      </c>
      <c r="H177" s="57">
        <v>168.86</v>
      </c>
      <c r="I177" s="57">
        <v>7</v>
      </c>
      <c r="J177" s="57">
        <v>0</v>
      </c>
      <c r="K177" s="56">
        <v>4</v>
      </c>
      <c r="L177" s="56">
        <v>120</v>
      </c>
      <c r="M177" s="98">
        <v>115</v>
      </c>
      <c r="N177" s="98">
        <v>0</v>
      </c>
      <c r="O177" s="98">
        <v>3</v>
      </c>
      <c r="P177" s="98">
        <v>494</v>
      </c>
    </row>
    <row r="178" spans="1:16">
      <c r="A178" s="55" t="s">
        <v>506</v>
      </c>
      <c r="B178" s="55">
        <v>5488</v>
      </c>
      <c r="C178" s="56" t="s">
        <v>673</v>
      </c>
      <c r="D178" s="59">
        <v>157.214</v>
      </c>
      <c r="E178" s="58">
        <v>37</v>
      </c>
      <c r="F178" s="56">
        <v>6</v>
      </c>
      <c r="G178" s="57">
        <v>0</v>
      </c>
      <c r="H178" s="57">
        <v>71.97</v>
      </c>
      <c r="I178" s="57">
        <v>11</v>
      </c>
      <c r="J178" s="57">
        <v>7</v>
      </c>
      <c r="K178" s="56">
        <v>0</v>
      </c>
      <c r="L178" s="56">
        <v>57</v>
      </c>
      <c r="M178" s="98">
        <v>54</v>
      </c>
      <c r="N178" s="98">
        <v>0</v>
      </c>
      <c r="O178" s="98">
        <v>1</v>
      </c>
      <c r="P178" s="98">
        <v>958</v>
      </c>
    </row>
    <row r="179" spans="1:16">
      <c r="A179" s="55" t="s">
        <v>632</v>
      </c>
      <c r="B179" s="55">
        <v>5489</v>
      </c>
      <c r="C179" s="56" t="s">
        <v>673</v>
      </c>
      <c r="D179" s="59">
        <v>2505.6750000000002</v>
      </c>
      <c r="E179" s="58">
        <v>145</v>
      </c>
      <c r="F179" s="56">
        <v>86</v>
      </c>
      <c r="G179" s="57">
        <v>0</v>
      </c>
      <c r="H179" s="57">
        <v>51.26</v>
      </c>
      <c r="I179" s="57">
        <v>18</v>
      </c>
      <c r="J179" s="57">
        <v>14</v>
      </c>
      <c r="K179" s="56">
        <v>0</v>
      </c>
      <c r="L179" s="56">
        <v>718</v>
      </c>
      <c r="M179" s="98">
        <v>669</v>
      </c>
      <c r="N179" s="98">
        <v>97</v>
      </c>
      <c r="O179" s="98">
        <v>1548</v>
      </c>
      <c r="P179" s="98">
        <v>4657</v>
      </c>
    </row>
    <row r="180" spans="1:16">
      <c r="A180" s="55" t="s">
        <v>507</v>
      </c>
      <c r="B180" s="55">
        <v>5723</v>
      </c>
      <c r="C180" s="56" t="s">
        <v>673</v>
      </c>
      <c r="D180" s="59">
        <v>11332.321</v>
      </c>
      <c r="E180" s="58">
        <v>107</v>
      </c>
      <c r="F180" s="56">
        <v>113</v>
      </c>
      <c r="G180" s="57">
        <v>0</v>
      </c>
      <c r="H180" s="57">
        <v>0</v>
      </c>
      <c r="I180" s="57">
        <v>98</v>
      </c>
      <c r="J180" s="57">
        <v>6</v>
      </c>
      <c r="K180" s="56">
        <v>0</v>
      </c>
      <c r="L180" s="56">
        <v>2116</v>
      </c>
      <c r="M180" s="98">
        <v>2000</v>
      </c>
      <c r="N180" s="98">
        <v>243.1</v>
      </c>
      <c r="O180" s="98">
        <v>416</v>
      </c>
      <c r="P180" s="98">
        <v>26866</v>
      </c>
    </row>
    <row r="181" spans="1:16">
      <c r="A181" s="55" t="s">
        <v>508</v>
      </c>
      <c r="B181" s="55">
        <v>5821</v>
      </c>
      <c r="C181" s="56" t="s">
        <v>673</v>
      </c>
      <c r="D181" s="59">
        <v>0</v>
      </c>
      <c r="E181" s="58">
        <v>258</v>
      </c>
      <c r="F181" s="56">
        <v>11</v>
      </c>
      <c r="G181" s="57">
        <v>605</v>
      </c>
      <c r="H181" s="57">
        <v>377.95</v>
      </c>
      <c r="I181" s="57">
        <v>6</v>
      </c>
      <c r="J181" s="57">
        <v>12</v>
      </c>
      <c r="K181" s="56">
        <v>2</v>
      </c>
      <c r="L181" s="56">
        <v>362</v>
      </c>
      <c r="M181" s="98">
        <v>343</v>
      </c>
      <c r="N181" s="98">
        <v>0</v>
      </c>
      <c r="O181" s="98">
        <v>25</v>
      </c>
      <c r="P181" s="98">
        <v>2078</v>
      </c>
    </row>
    <row r="182" spans="1:16">
      <c r="A182" s="55" t="s">
        <v>509</v>
      </c>
      <c r="B182" s="55">
        <v>5490</v>
      </c>
      <c r="C182" s="56" t="s">
        <v>673</v>
      </c>
      <c r="D182" s="59">
        <v>850.74300000000005</v>
      </c>
      <c r="E182" s="58">
        <v>274</v>
      </c>
      <c r="F182" s="56">
        <v>371</v>
      </c>
      <c r="G182" s="57">
        <v>0</v>
      </c>
      <c r="H182" s="57">
        <v>175.17</v>
      </c>
      <c r="I182" s="57">
        <v>16</v>
      </c>
      <c r="J182" s="57">
        <v>0</v>
      </c>
      <c r="K182" s="56">
        <v>0</v>
      </c>
      <c r="L182" s="56">
        <v>310</v>
      </c>
      <c r="M182" s="98">
        <v>292</v>
      </c>
      <c r="N182" s="98">
        <v>0</v>
      </c>
      <c r="O182" s="98">
        <v>14</v>
      </c>
      <c r="P182" s="98">
        <v>747</v>
      </c>
    </row>
    <row r="183" spans="1:16">
      <c r="A183" s="55" t="s">
        <v>631</v>
      </c>
      <c r="B183" s="55">
        <v>5431</v>
      </c>
      <c r="C183" s="56" t="s">
        <v>673</v>
      </c>
      <c r="D183" s="59">
        <v>1329.5360000000001</v>
      </c>
      <c r="E183" s="58">
        <v>512</v>
      </c>
      <c r="F183" s="56">
        <v>562</v>
      </c>
      <c r="G183" s="57">
        <v>146</v>
      </c>
      <c r="H183" s="57">
        <v>370.39</v>
      </c>
      <c r="I183" s="57">
        <v>44</v>
      </c>
      <c r="J183" s="57">
        <v>38</v>
      </c>
      <c r="K183" s="56">
        <v>31</v>
      </c>
      <c r="L183" s="56">
        <v>308</v>
      </c>
      <c r="M183" s="98">
        <v>293</v>
      </c>
      <c r="N183" s="98">
        <v>0</v>
      </c>
      <c r="O183" s="98">
        <v>13</v>
      </c>
      <c r="P183" s="98">
        <v>1597</v>
      </c>
    </row>
    <row r="184" spans="1:16">
      <c r="A184" s="55" t="s">
        <v>510</v>
      </c>
      <c r="B184" s="55">
        <v>5921</v>
      </c>
      <c r="C184" s="56" t="s">
        <v>673</v>
      </c>
      <c r="D184" s="59">
        <v>1336.067</v>
      </c>
      <c r="E184" s="58">
        <v>364</v>
      </c>
      <c r="F184" s="56">
        <v>163</v>
      </c>
      <c r="G184" s="57">
        <v>0</v>
      </c>
      <c r="H184" s="57">
        <v>170.79</v>
      </c>
      <c r="I184" s="57">
        <v>25</v>
      </c>
      <c r="J184" s="57">
        <v>30</v>
      </c>
      <c r="K184" s="56">
        <v>4</v>
      </c>
      <c r="L184" s="56">
        <v>240</v>
      </c>
      <c r="M184" s="98">
        <v>220</v>
      </c>
      <c r="N184" s="98">
        <v>1.6</v>
      </c>
      <c r="O184" s="98">
        <v>51</v>
      </c>
      <c r="P184" s="98">
        <v>761</v>
      </c>
    </row>
    <row r="185" spans="1:16">
      <c r="A185" s="55" t="s">
        <v>629</v>
      </c>
      <c r="B185" s="55">
        <v>5491</v>
      </c>
      <c r="C185" s="56" t="s">
        <v>673</v>
      </c>
      <c r="D185" s="59">
        <v>1686.029</v>
      </c>
      <c r="E185" s="58">
        <v>880</v>
      </c>
      <c r="F185" s="56">
        <v>1032</v>
      </c>
      <c r="G185" s="57">
        <v>0</v>
      </c>
      <c r="H185" s="57">
        <v>288.66000000000003</v>
      </c>
      <c r="I185" s="57">
        <v>12</v>
      </c>
      <c r="J185" s="57">
        <v>3</v>
      </c>
      <c r="K185" s="56">
        <v>0</v>
      </c>
      <c r="L185" s="56">
        <v>478</v>
      </c>
      <c r="M185" s="98">
        <v>447</v>
      </c>
      <c r="N185" s="98">
        <v>3.9</v>
      </c>
      <c r="O185" s="98">
        <v>21</v>
      </c>
      <c r="P185" s="98">
        <v>2598</v>
      </c>
    </row>
    <row r="186" spans="1:16">
      <c r="A186" s="55" t="s">
        <v>628</v>
      </c>
      <c r="B186" s="55">
        <v>5859</v>
      </c>
      <c r="C186" s="56" t="s">
        <v>673</v>
      </c>
      <c r="D186" s="59">
        <v>7328.8360000000002</v>
      </c>
      <c r="E186" s="58">
        <v>217</v>
      </c>
      <c r="F186" s="56">
        <v>56</v>
      </c>
      <c r="G186" s="57">
        <v>0</v>
      </c>
      <c r="H186" s="57">
        <v>111.9</v>
      </c>
      <c r="I186" s="57">
        <v>11</v>
      </c>
      <c r="J186" s="57">
        <v>0</v>
      </c>
      <c r="K186" s="56">
        <v>0</v>
      </c>
      <c r="L186" s="56">
        <v>2677</v>
      </c>
      <c r="M186" s="98">
        <v>2538</v>
      </c>
      <c r="N186" s="98">
        <v>95.8</v>
      </c>
      <c r="O186" s="98">
        <v>353</v>
      </c>
      <c r="P186" s="98">
        <v>13506</v>
      </c>
    </row>
    <row r="187" spans="1:16">
      <c r="A187" s="55" t="s">
        <v>630</v>
      </c>
      <c r="B187" s="55">
        <v>5922</v>
      </c>
      <c r="C187" s="56" t="s">
        <v>676</v>
      </c>
      <c r="D187" s="59">
        <v>13100.906999999999</v>
      </c>
      <c r="E187" s="58">
        <v>243</v>
      </c>
      <c r="F187" s="56">
        <v>23</v>
      </c>
      <c r="G187" s="57">
        <v>9</v>
      </c>
      <c r="H187" s="57">
        <v>124.76</v>
      </c>
      <c r="I187" s="57">
        <v>2</v>
      </c>
      <c r="J187" s="57">
        <v>0</v>
      </c>
      <c r="K187" s="56">
        <v>0</v>
      </c>
      <c r="L187" s="56">
        <v>747</v>
      </c>
      <c r="M187" s="98">
        <v>716</v>
      </c>
      <c r="N187" s="98">
        <v>132.30000000000001</v>
      </c>
      <c r="O187" s="98">
        <v>1451</v>
      </c>
      <c r="P187" s="98">
        <v>2194</v>
      </c>
    </row>
    <row r="188" spans="1:16">
      <c r="A188" s="55" t="s">
        <v>511</v>
      </c>
      <c r="B188" s="55">
        <v>5693</v>
      </c>
      <c r="C188" s="56" t="s">
        <v>673</v>
      </c>
      <c r="D188" s="59">
        <v>9509.0210000000006</v>
      </c>
      <c r="E188" s="58">
        <v>2329</v>
      </c>
      <c r="F188" s="56">
        <v>822</v>
      </c>
      <c r="G188" s="57">
        <v>2136</v>
      </c>
      <c r="H188" s="57">
        <v>1566.94</v>
      </c>
      <c r="I188" s="57">
        <v>124</v>
      </c>
      <c r="J188" s="57">
        <v>217</v>
      </c>
      <c r="K188" s="56">
        <v>4</v>
      </c>
      <c r="L188" s="56">
        <v>2717</v>
      </c>
      <c r="M188" s="98">
        <v>2545</v>
      </c>
      <c r="N188" s="98">
        <v>16</v>
      </c>
      <c r="O188" s="98">
        <v>179</v>
      </c>
      <c r="P188" s="98">
        <v>15735</v>
      </c>
    </row>
    <row r="189" spans="1:16">
      <c r="A189" s="55" t="s">
        <v>512</v>
      </c>
      <c r="B189" s="55">
        <v>5756</v>
      </c>
      <c r="C189" s="56" t="s">
        <v>673</v>
      </c>
      <c r="D189" s="59">
        <v>134.87100000000001</v>
      </c>
      <c r="E189" s="58">
        <v>158</v>
      </c>
      <c r="F189" s="56">
        <v>96</v>
      </c>
      <c r="G189" s="57">
        <v>0</v>
      </c>
      <c r="H189" s="57">
        <v>166</v>
      </c>
      <c r="I189" s="57">
        <v>5</v>
      </c>
      <c r="J189" s="57">
        <v>69</v>
      </c>
      <c r="K189" s="56">
        <v>19</v>
      </c>
      <c r="L189" s="56">
        <v>505</v>
      </c>
      <c r="M189" s="98">
        <v>475</v>
      </c>
      <c r="N189" s="98">
        <v>4.2</v>
      </c>
      <c r="O189" s="98">
        <v>52</v>
      </c>
      <c r="P189" s="98">
        <v>636</v>
      </c>
    </row>
    <row r="190" spans="1:16">
      <c r="A190" s="55" t="s">
        <v>513</v>
      </c>
      <c r="B190" s="55">
        <v>5540</v>
      </c>
      <c r="C190" s="56" t="s">
        <v>673</v>
      </c>
      <c r="D190" s="59">
        <v>4789.6279999999997</v>
      </c>
      <c r="E190" s="58">
        <v>831</v>
      </c>
      <c r="F190" s="56">
        <v>257</v>
      </c>
      <c r="G190" s="57">
        <v>365</v>
      </c>
      <c r="H190" s="57">
        <v>540.19000000000005</v>
      </c>
      <c r="I190" s="57">
        <v>115</v>
      </c>
      <c r="J190" s="57">
        <v>98</v>
      </c>
      <c r="K190" s="56">
        <v>26</v>
      </c>
      <c r="L190" s="56">
        <v>1819</v>
      </c>
      <c r="M190" s="98">
        <v>1718</v>
      </c>
      <c r="N190" s="98">
        <v>1.3</v>
      </c>
      <c r="O190" s="98">
        <v>75</v>
      </c>
      <c r="P190" s="98">
        <v>4473</v>
      </c>
    </row>
    <row r="191" spans="1:16">
      <c r="A191" s="55" t="s">
        <v>514</v>
      </c>
      <c r="B191" s="55">
        <v>5792</v>
      </c>
      <c r="C191" s="56" t="s">
        <v>673</v>
      </c>
      <c r="D191" s="59">
        <v>1901.886</v>
      </c>
      <c r="E191" s="58">
        <v>165</v>
      </c>
      <c r="F191" s="56">
        <v>209</v>
      </c>
      <c r="G191" s="57">
        <v>0</v>
      </c>
      <c r="H191" s="57">
        <v>43.76</v>
      </c>
      <c r="I191" s="57">
        <v>25</v>
      </c>
      <c r="J191" s="57">
        <v>3</v>
      </c>
      <c r="K191" s="56">
        <v>4</v>
      </c>
      <c r="L191" s="56">
        <v>657</v>
      </c>
      <c r="M191" s="98">
        <v>624</v>
      </c>
      <c r="N191" s="98">
        <v>0.9</v>
      </c>
      <c r="O191" s="98">
        <v>52</v>
      </c>
      <c r="P191" s="98">
        <v>202</v>
      </c>
    </row>
    <row r="192" spans="1:16">
      <c r="A192" s="55" t="s">
        <v>515</v>
      </c>
      <c r="B192" s="55">
        <v>5886</v>
      </c>
      <c r="C192" s="56" t="s">
        <v>674</v>
      </c>
      <c r="D192" s="59">
        <v>116796.79300000001</v>
      </c>
      <c r="E192" s="58">
        <v>834</v>
      </c>
      <c r="F192" s="56">
        <v>1680</v>
      </c>
      <c r="G192" s="57">
        <v>3</v>
      </c>
      <c r="H192" s="57">
        <v>268.44</v>
      </c>
      <c r="I192" s="57">
        <v>31</v>
      </c>
      <c r="J192" s="57">
        <v>835</v>
      </c>
      <c r="K192" s="56">
        <v>144</v>
      </c>
      <c r="L192" s="56">
        <v>26065</v>
      </c>
      <c r="M192" s="98">
        <v>24909</v>
      </c>
      <c r="N192" s="98">
        <v>548.29999999999995</v>
      </c>
      <c r="O192" s="98">
        <v>6572</v>
      </c>
      <c r="P192" s="98">
        <v>72017</v>
      </c>
    </row>
    <row r="193" spans="1:16">
      <c r="A193" s="55" t="s">
        <v>516</v>
      </c>
      <c r="B193" s="55">
        <v>5492</v>
      </c>
      <c r="C193" s="56" t="s">
        <v>673</v>
      </c>
      <c r="D193" s="59">
        <v>4070.643</v>
      </c>
      <c r="E193" s="58">
        <v>992</v>
      </c>
      <c r="F193" s="56">
        <v>1495</v>
      </c>
      <c r="G193" s="57">
        <v>993</v>
      </c>
      <c r="H193" s="57">
        <v>626.20000000000005</v>
      </c>
      <c r="I193" s="57">
        <v>62</v>
      </c>
      <c r="J193" s="57">
        <v>31</v>
      </c>
      <c r="K193" s="56">
        <v>24</v>
      </c>
      <c r="L193" s="56">
        <v>964</v>
      </c>
      <c r="M193" s="98">
        <v>930</v>
      </c>
      <c r="N193" s="98">
        <v>13.1</v>
      </c>
      <c r="O193" s="98">
        <v>117</v>
      </c>
      <c r="P193" s="98">
        <v>2937</v>
      </c>
    </row>
    <row r="194" spans="1:16">
      <c r="A194" s="55" t="s">
        <v>517</v>
      </c>
      <c r="B194" s="55">
        <v>5642</v>
      </c>
      <c r="C194" s="56" t="s">
        <v>674</v>
      </c>
      <c r="D194" s="59">
        <v>68859.350000000006</v>
      </c>
      <c r="E194" s="58">
        <v>77</v>
      </c>
      <c r="F194" s="56">
        <v>16</v>
      </c>
      <c r="G194" s="57">
        <v>0</v>
      </c>
      <c r="H194" s="57">
        <v>0</v>
      </c>
      <c r="I194" s="57">
        <v>3</v>
      </c>
      <c r="J194" s="57">
        <v>0</v>
      </c>
      <c r="K194" s="56">
        <v>0</v>
      </c>
      <c r="L194" s="56">
        <v>15862</v>
      </c>
      <c r="M194" s="98">
        <v>15061</v>
      </c>
      <c r="N194" s="98">
        <v>558.1</v>
      </c>
      <c r="O194" s="98">
        <v>6829</v>
      </c>
      <c r="P194" s="98">
        <v>89179</v>
      </c>
    </row>
    <row r="195" spans="1:16">
      <c r="A195" s="55" t="s">
        <v>627</v>
      </c>
      <c r="B195" s="55">
        <v>5527</v>
      </c>
      <c r="C195" s="56" t="s">
        <v>673</v>
      </c>
      <c r="D195" s="59">
        <v>3840.9209999999998</v>
      </c>
      <c r="E195" s="58">
        <v>235</v>
      </c>
      <c r="F195" s="56">
        <v>74</v>
      </c>
      <c r="G195" s="57">
        <v>10</v>
      </c>
      <c r="H195" s="57">
        <v>107.29</v>
      </c>
      <c r="I195" s="57">
        <v>14</v>
      </c>
      <c r="J195" s="57">
        <v>9</v>
      </c>
      <c r="K195" s="56">
        <v>13</v>
      </c>
      <c r="L195" s="56">
        <v>1126</v>
      </c>
      <c r="M195" s="98">
        <v>1043</v>
      </c>
      <c r="N195" s="98">
        <v>0.9</v>
      </c>
      <c r="O195" s="98">
        <v>49</v>
      </c>
      <c r="P195" s="98">
        <v>3069</v>
      </c>
    </row>
    <row r="196" spans="1:16">
      <c r="A196" s="55" t="s">
        <v>518</v>
      </c>
      <c r="B196" s="55">
        <v>5678</v>
      </c>
      <c r="C196" s="56" t="s">
        <v>675</v>
      </c>
      <c r="D196" s="59">
        <v>28168.156999999999</v>
      </c>
      <c r="E196" s="58">
        <v>717</v>
      </c>
      <c r="F196" s="56">
        <v>550</v>
      </c>
      <c r="G196" s="57">
        <v>958</v>
      </c>
      <c r="H196" s="57">
        <v>526.87</v>
      </c>
      <c r="I196" s="57">
        <v>36</v>
      </c>
      <c r="J196" s="57">
        <v>104</v>
      </c>
      <c r="K196" s="56">
        <v>35</v>
      </c>
      <c r="L196" s="56">
        <v>6080</v>
      </c>
      <c r="M196" s="98">
        <v>5654</v>
      </c>
      <c r="N196" s="98">
        <v>38.9</v>
      </c>
      <c r="O196" s="98">
        <v>1450</v>
      </c>
      <c r="P196" s="98">
        <v>27905</v>
      </c>
    </row>
    <row r="197" spans="1:16">
      <c r="A197" s="55" t="s">
        <v>519</v>
      </c>
      <c r="B197" s="55">
        <v>5563</v>
      </c>
      <c r="C197" s="56" t="s">
        <v>673</v>
      </c>
      <c r="D197" s="59">
        <v>529.37199999999996</v>
      </c>
      <c r="E197" s="58">
        <v>106</v>
      </c>
      <c r="F197" s="56">
        <v>201</v>
      </c>
      <c r="G197" s="57">
        <v>0</v>
      </c>
      <c r="H197" s="57">
        <v>138.02000000000001</v>
      </c>
      <c r="I197" s="57">
        <v>0</v>
      </c>
      <c r="J197" s="57">
        <v>6</v>
      </c>
      <c r="K197" s="56">
        <v>0</v>
      </c>
      <c r="L197" s="56">
        <v>153</v>
      </c>
      <c r="M197" s="98">
        <v>142</v>
      </c>
      <c r="N197" s="98">
        <v>0.9</v>
      </c>
      <c r="O197" s="98">
        <v>6</v>
      </c>
      <c r="P197" s="98">
        <v>267</v>
      </c>
    </row>
    <row r="198" spans="1:16">
      <c r="A198" s="55" t="s">
        <v>520</v>
      </c>
      <c r="B198" s="55">
        <v>5564</v>
      </c>
      <c r="C198" s="56" t="s">
        <v>673</v>
      </c>
      <c r="D198" s="59">
        <v>330.61099999999999</v>
      </c>
      <c r="E198" s="58">
        <v>93</v>
      </c>
      <c r="F198" s="56">
        <v>97</v>
      </c>
      <c r="G198" s="57">
        <v>0</v>
      </c>
      <c r="H198" s="57">
        <v>159.77000000000001</v>
      </c>
      <c r="I198" s="57">
        <v>4</v>
      </c>
      <c r="J198" s="57">
        <v>9</v>
      </c>
      <c r="K198" s="56">
        <v>6</v>
      </c>
      <c r="L198" s="56">
        <v>100</v>
      </c>
      <c r="M198" s="98">
        <v>95</v>
      </c>
      <c r="N198" s="98">
        <v>0</v>
      </c>
      <c r="O198" s="98">
        <v>0</v>
      </c>
      <c r="P198" s="98">
        <v>0</v>
      </c>
    </row>
    <row r="199" spans="1:16">
      <c r="A199" s="55" t="s">
        <v>521</v>
      </c>
      <c r="B199" s="55">
        <v>5408</v>
      </c>
      <c r="C199" s="56" t="s">
        <v>673</v>
      </c>
      <c r="D199" s="59">
        <v>7493.9139999999998</v>
      </c>
      <c r="E199" s="58">
        <v>413</v>
      </c>
      <c r="F199" s="56">
        <v>367</v>
      </c>
      <c r="G199" s="57">
        <v>0</v>
      </c>
      <c r="H199" s="57">
        <v>280.27</v>
      </c>
      <c r="I199" s="57">
        <v>139</v>
      </c>
      <c r="J199" s="57">
        <v>235</v>
      </c>
      <c r="K199" s="56">
        <v>10</v>
      </c>
      <c r="L199" s="56">
        <v>1167</v>
      </c>
      <c r="M199" s="98">
        <v>1090</v>
      </c>
      <c r="N199" s="98">
        <v>64.400000000000006</v>
      </c>
      <c r="O199" s="98">
        <v>494</v>
      </c>
      <c r="P199" s="98">
        <v>4281</v>
      </c>
    </row>
    <row r="200" spans="1:16">
      <c r="A200" s="55" t="s">
        <v>522</v>
      </c>
      <c r="B200" s="55">
        <v>5724</v>
      </c>
      <c r="C200" s="56" t="s">
        <v>674</v>
      </c>
      <c r="D200" s="59">
        <v>0</v>
      </c>
      <c r="E200" s="58">
        <v>253</v>
      </c>
      <c r="F200" s="56">
        <v>52</v>
      </c>
      <c r="G200" s="57">
        <v>0</v>
      </c>
      <c r="H200" s="57">
        <v>147.51</v>
      </c>
      <c r="I200" s="57">
        <v>46</v>
      </c>
      <c r="J200" s="57">
        <v>0</v>
      </c>
      <c r="K200" s="56">
        <v>0</v>
      </c>
      <c r="L200" s="56">
        <v>21416</v>
      </c>
      <c r="M200" s="98">
        <v>20085</v>
      </c>
      <c r="N200" s="98">
        <v>2806.1</v>
      </c>
      <c r="O200" s="98">
        <v>8520</v>
      </c>
      <c r="P200" s="98">
        <v>164382</v>
      </c>
    </row>
    <row r="201" spans="1:16">
      <c r="A201" s="55" t="s">
        <v>523</v>
      </c>
      <c r="B201" s="55">
        <v>5680</v>
      </c>
      <c r="C201" s="56" t="s">
        <v>673</v>
      </c>
      <c r="D201" s="59">
        <v>830.03599999999994</v>
      </c>
      <c r="E201" s="58">
        <v>210</v>
      </c>
      <c r="F201" s="56">
        <v>104</v>
      </c>
      <c r="G201" s="57">
        <v>1</v>
      </c>
      <c r="H201" s="57">
        <v>97.78</v>
      </c>
      <c r="I201" s="57">
        <v>53</v>
      </c>
      <c r="J201" s="57">
        <v>20</v>
      </c>
      <c r="K201" s="56">
        <v>3</v>
      </c>
      <c r="L201" s="56">
        <v>296</v>
      </c>
      <c r="M201" s="98">
        <v>276</v>
      </c>
      <c r="N201" s="98">
        <v>0.8</v>
      </c>
      <c r="O201" s="98">
        <v>26</v>
      </c>
      <c r="P201" s="98">
        <v>788</v>
      </c>
    </row>
    <row r="202" spans="1:16">
      <c r="A202" s="55" t="s">
        <v>524</v>
      </c>
      <c r="B202" s="55">
        <v>5409</v>
      </c>
      <c r="C202" s="56" t="s">
        <v>677</v>
      </c>
      <c r="D202" s="59">
        <v>10967.9</v>
      </c>
      <c r="E202" s="58">
        <v>2285</v>
      </c>
      <c r="F202" s="56">
        <v>2759</v>
      </c>
      <c r="G202" s="57">
        <v>0</v>
      </c>
      <c r="H202" s="57">
        <v>678.13</v>
      </c>
      <c r="I202" s="57">
        <v>87</v>
      </c>
      <c r="J202" s="57">
        <v>760</v>
      </c>
      <c r="K202" s="56">
        <v>157</v>
      </c>
      <c r="L202" s="56">
        <v>7560</v>
      </c>
      <c r="M202" s="98">
        <v>7292</v>
      </c>
      <c r="N202" s="98">
        <v>70.8</v>
      </c>
      <c r="O202" s="98">
        <v>760</v>
      </c>
      <c r="P202" s="98">
        <v>56223</v>
      </c>
    </row>
    <row r="203" spans="1:16">
      <c r="A203" s="55" t="s">
        <v>626</v>
      </c>
      <c r="B203" s="55">
        <v>5565</v>
      </c>
      <c r="C203" s="56" t="s">
        <v>673</v>
      </c>
      <c r="D203" s="59">
        <v>6397.3360000000002</v>
      </c>
      <c r="E203" s="58">
        <v>215</v>
      </c>
      <c r="F203" s="56">
        <v>252</v>
      </c>
      <c r="G203" s="57">
        <v>0</v>
      </c>
      <c r="H203" s="57">
        <v>60.69</v>
      </c>
      <c r="I203" s="57">
        <v>1</v>
      </c>
      <c r="J203" s="57">
        <v>7</v>
      </c>
      <c r="K203" s="56">
        <v>0</v>
      </c>
      <c r="L203" s="56">
        <v>497</v>
      </c>
      <c r="M203" s="98">
        <v>467</v>
      </c>
      <c r="N203" s="98">
        <v>23.9</v>
      </c>
      <c r="O203" s="98">
        <v>69</v>
      </c>
      <c r="P203" s="98">
        <v>807</v>
      </c>
    </row>
    <row r="204" spans="1:16">
      <c r="A204" s="55" t="s">
        <v>525</v>
      </c>
      <c r="B204" s="55">
        <v>5923</v>
      </c>
      <c r="C204" s="56" t="s">
        <v>673</v>
      </c>
      <c r="D204" s="59">
        <v>1607.0940000000001</v>
      </c>
      <c r="E204" s="58">
        <v>232</v>
      </c>
      <c r="F204" s="56">
        <v>102</v>
      </c>
      <c r="G204" s="57">
        <v>1</v>
      </c>
      <c r="H204" s="57">
        <v>144.27000000000001</v>
      </c>
      <c r="I204" s="57">
        <v>18</v>
      </c>
      <c r="J204" s="57">
        <v>10</v>
      </c>
      <c r="K204" s="56">
        <v>4</v>
      </c>
      <c r="L204" s="56">
        <v>202</v>
      </c>
      <c r="M204" s="98">
        <v>189</v>
      </c>
      <c r="N204" s="98">
        <v>4.4000000000000004</v>
      </c>
      <c r="O204" s="98">
        <v>109</v>
      </c>
      <c r="P204" s="98">
        <v>403</v>
      </c>
    </row>
    <row r="205" spans="1:16">
      <c r="A205" s="55" t="s">
        <v>526</v>
      </c>
      <c r="B205" s="55">
        <v>5757</v>
      </c>
      <c r="C205" s="56" t="s">
        <v>675</v>
      </c>
      <c r="D205" s="59">
        <v>54484.678999999996</v>
      </c>
      <c r="E205" s="58">
        <v>861</v>
      </c>
      <c r="F205" s="56">
        <v>41</v>
      </c>
      <c r="G205" s="57">
        <v>420</v>
      </c>
      <c r="H205" s="57">
        <v>328.23</v>
      </c>
      <c r="I205" s="57">
        <v>44</v>
      </c>
      <c r="J205" s="57">
        <v>438</v>
      </c>
      <c r="K205" s="56">
        <v>15</v>
      </c>
      <c r="L205" s="56">
        <v>7030</v>
      </c>
      <c r="M205" s="98">
        <v>6626</v>
      </c>
      <c r="N205" s="98">
        <v>703.6</v>
      </c>
      <c r="O205" s="98">
        <v>2657</v>
      </c>
      <c r="P205" s="98">
        <v>57351</v>
      </c>
    </row>
    <row r="206" spans="1:16">
      <c r="A206" s="55" t="s">
        <v>527</v>
      </c>
      <c r="B206" s="55">
        <v>5924</v>
      </c>
      <c r="C206" s="56" t="s">
        <v>673</v>
      </c>
      <c r="D206" s="59">
        <v>1807.761</v>
      </c>
      <c r="E206" s="58">
        <v>327</v>
      </c>
      <c r="F206" s="56">
        <v>52</v>
      </c>
      <c r="G206" s="57">
        <v>0</v>
      </c>
      <c r="H206" s="57">
        <v>24.04</v>
      </c>
      <c r="I206" s="57">
        <v>2</v>
      </c>
      <c r="J206" s="57">
        <v>0</v>
      </c>
      <c r="K206" s="56">
        <v>0</v>
      </c>
      <c r="L206" s="56">
        <v>332</v>
      </c>
      <c r="M206" s="98">
        <v>313</v>
      </c>
      <c r="N206" s="98">
        <v>8.6999999999999993</v>
      </c>
      <c r="O206" s="98">
        <v>75</v>
      </c>
      <c r="P206" s="98">
        <v>4068</v>
      </c>
    </row>
    <row r="207" spans="1:16">
      <c r="A207" s="55" t="s">
        <v>528</v>
      </c>
      <c r="B207" s="55">
        <v>5410</v>
      </c>
      <c r="C207" s="56" t="s">
        <v>677</v>
      </c>
      <c r="D207" s="59">
        <v>8236.1929999999993</v>
      </c>
      <c r="E207" s="58">
        <v>2462</v>
      </c>
      <c r="F207" s="56">
        <v>2936</v>
      </c>
      <c r="G207" s="57">
        <v>4</v>
      </c>
      <c r="H207" s="57">
        <v>610</v>
      </c>
      <c r="I207" s="57">
        <v>62</v>
      </c>
      <c r="J207" s="57">
        <v>360</v>
      </c>
      <c r="K207" s="56">
        <v>74</v>
      </c>
      <c r="L207" s="56">
        <v>1141</v>
      </c>
      <c r="M207" s="98">
        <v>1089</v>
      </c>
      <c r="N207" s="98">
        <v>1.6</v>
      </c>
      <c r="O207" s="98">
        <v>119</v>
      </c>
      <c r="P207" s="98">
        <v>5187</v>
      </c>
    </row>
    <row r="208" spans="1:16">
      <c r="A208" s="55" t="s">
        <v>529</v>
      </c>
      <c r="B208" s="55">
        <v>5411</v>
      </c>
      <c r="C208" s="56" t="s">
        <v>677</v>
      </c>
      <c r="D208" s="59">
        <v>14823.442999999999</v>
      </c>
      <c r="E208" s="58">
        <v>1986</v>
      </c>
      <c r="F208" s="56">
        <v>2069</v>
      </c>
      <c r="G208" s="57">
        <v>0</v>
      </c>
      <c r="H208" s="57">
        <v>424.5</v>
      </c>
      <c r="I208" s="57">
        <v>4</v>
      </c>
      <c r="J208" s="57">
        <v>67</v>
      </c>
      <c r="K208" s="56">
        <v>56</v>
      </c>
      <c r="L208" s="56">
        <v>1434</v>
      </c>
      <c r="M208" s="98">
        <v>1376</v>
      </c>
      <c r="N208" s="98">
        <v>10.3</v>
      </c>
      <c r="O208" s="98">
        <v>162</v>
      </c>
      <c r="P208" s="98">
        <v>6358</v>
      </c>
    </row>
    <row r="209" spans="1:16">
      <c r="A209" s="55" t="s">
        <v>530</v>
      </c>
      <c r="B209" s="55">
        <v>5493</v>
      </c>
      <c r="C209" s="56" t="s">
        <v>673</v>
      </c>
      <c r="D209" s="59">
        <v>2026.2</v>
      </c>
      <c r="E209" s="58">
        <v>420</v>
      </c>
      <c r="F209" s="56">
        <v>88</v>
      </c>
      <c r="G209" s="57">
        <v>650</v>
      </c>
      <c r="H209" s="57">
        <v>200.73</v>
      </c>
      <c r="I209" s="57">
        <v>13</v>
      </c>
      <c r="J209" s="57">
        <v>94</v>
      </c>
      <c r="K209" s="56">
        <v>0</v>
      </c>
      <c r="L209" s="56">
        <v>416</v>
      </c>
      <c r="M209" s="98">
        <v>397</v>
      </c>
      <c r="N209" s="98">
        <v>24.4</v>
      </c>
      <c r="O209" s="98">
        <v>44</v>
      </c>
      <c r="P209" s="98">
        <v>7099</v>
      </c>
    </row>
    <row r="210" spans="1:16">
      <c r="A210" s="55" t="s">
        <v>531</v>
      </c>
      <c r="B210" s="55">
        <v>5805</v>
      </c>
      <c r="C210" s="56" t="s">
        <v>675</v>
      </c>
      <c r="D210" s="59">
        <v>21845.65</v>
      </c>
      <c r="E210" s="58">
        <v>1691</v>
      </c>
      <c r="F210" s="56">
        <v>463</v>
      </c>
      <c r="G210" s="57">
        <v>946</v>
      </c>
      <c r="H210" s="57">
        <v>1924.39</v>
      </c>
      <c r="I210" s="57">
        <v>129</v>
      </c>
      <c r="J210" s="57">
        <v>187</v>
      </c>
      <c r="K210" s="56">
        <v>47</v>
      </c>
      <c r="L210" s="56">
        <v>5669</v>
      </c>
      <c r="M210" s="98">
        <v>5282</v>
      </c>
      <c r="N210" s="98">
        <v>30.5</v>
      </c>
      <c r="O210" s="98">
        <v>1353</v>
      </c>
      <c r="P210" s="98">
        <v>39434</v>
      </c>
    </row>
    <row r="211" spans="1:16">
      <c r="A211" s="55" t="s">
        <v>532</v>
      </c>
      <c r="B211" s="55">
        <v>5925</v>
      </c>
      <c r="C211" s="56" t="s">
        <v>673</v>
      </c>
      <c r="D211" s="59">
        <v>676.11699999999996</v>
      </c>
      <c r="E211" s="58">
        <v>336</v>
      </c>
      <c r="F211" s="56">
        <v>67</v>
      </c>
      <c r="G211" s="57">
        <v>398</v>
      </c>
      <c r="H211" s="57">
        <v>124.28</v>
      </c>
      <c r="I211" s="57">
        <v>4</v>
      </c>
      <c r="J211" s="57">
        <v>0</v>
      </c>
      <c r="K211" s="56">
        <v>6</v>
      </c>
      <c r="L211" s="56">
        <v>208</v>
      </c>
      <c r="M211" s="98">
        <v>195</v>
      </c>
      <c r="N211" s="98">
        <v>3.5</v>
      </c>
      <c r="O211" s="98">
        <v>23</v>
      </c>
      <c r="P211" s="98">
        <v>404</v>
      </c>
    </row>
    <row r="212" spans="1:16">
      <c r="A212" s="55" t="s">
        <v>625</v>
      </c>
      <c r="B212" s="55">
        <v>5529</v>
      </c>
      <c r="C212" s="56" t="s">
        <v>673</v>
      </c>
      <c r="D212" s="59">
        <v>1974.394</v>
      </c>
      <c r="E212" s="58">
        <v>375</v>
      </c>
      <c r="F212" s="56">
        <v>144</v>
      </c>
      <c r="G212" s="57">
        <v>1</v>
      </c>
      <c r="H212" s="57">
        <v>43.18</v>
      </c>
      <c r="I212" s="57">
        <v>26</v>
      </c>
      <c r="J212" s="57">
        <v>282</v>
      </c>
      <c r="K212" s="56">
        <v>23</v>
      </c>
      <c r="L212" s="56">
        <v>615</v>
      </c>
      <c r="M212" s="98">
        <v>569</v>
      </c>
      <c r="N212" s="98">
        <v>0.9</v>
      </c>
      <c r="O212" s="98">
        <v>70</v>
      </c>
      <c r="P212" s="98">
        <v>2190</v>
      </c>
    </row>
    <row r="213" spans="1:16">
      <c r="A213" s="55" t="s">
        <v>533</v>
      </c>
      <c r="B213" s="55">
        <v>5530</v>
      </c>
      <c r="C213" s="56" t="s">
        <v>673</v>
      </c>
      <c r="D213" s="59">
        <v>3214.4279999999999</v>
      </c>
      <c r="E213" s="58">
        <v>426</v>
      </c>
      <c r="F213" s="56">
        <v>105</v>
      </c>
      <c r="G213" s="57">
        <v>0</v>
      </c>
      <c r="H213" s="57">
        <v>236.76</v>
      </c>
      <c r="I213" s="57">
        <v>24</v>
      </c>
      <c r="J213" s="57">
        <v>41</v>
      </c>
      <c r="K213" s="56">
        <v>53</v>
      </c>
      <c r="L213" s="56">
        <v>563</v>
      </c>
      <c r="M213" s="98">
        <v>525</v>
      </c>
      <c r="N213" s="98">
        <v>5.7</v>
      </c>
      <c r="O213" s="98">
        <v>100</v>
      </c>
      <c r="P213" s="98">
        <v>2731</v>
      </c>
    </row>
    <row r="214" spans="1:16">
      <c r="A214" s="55" t="s">
        <v>535</v>
      </c>
      <c r="B214" s="55">
        <v>5588</v>
      </c>
      <c r="C214" s="56" t="s">
        <v>678</v>
      </c>
      <c r="D214" s="59">
        <v>0</v>
      </c>
      <c r="E214" s="58">
        <v>3</v>
      </c>
      <c r="F214" s="56">
        <v>4</v>
      </c>
      <c r="G214" s="57">
        <v>0</v>
      </c>
      <c r="H214" s="57">
        <v>0</v>
      </c>
      <c r="I214" s="57">
        <v>0</v>
      </c>
      <c r="J214" s="57">
        <v>16</v>
      </c>
      <c r="K214" s="56">
        <v>0</v>
      </c>
      <c r="L214" s="56">
        <v>1532</v>
      </c>
      <c r="M214" s="98">
        <v>1463</v>
      </c>
      <c r="N214" s="98">
        <v>19</v>
      </c>
      <c r="O214" s="98">
        <v>670</v>
      </c>
      <c r="P214" s="98">
        <v>4091</v>
      </c>
    </row>
    <row r="215" spans="1:16">
      <c r="A215" s="55" t="s">
        <v>536</v>
      </c>
      <c r="B215" s="55">
        <v>5822</v>
      </c>
      <c r="C215" s="56" t="s">
        <v>675</v>
      </c>
      <c r="D215" s="59">
        <v>0</v>
      </c>
      <c r="E215" s="58">
        <v>1428</v>
      </c>
      <c r="F215" s="56">
        <v>362</v>
      </c>
      <c r="G215" s="57">
        <v>0</v>
      </c>
      <c r="H215" s="57">
        <v>716.66</v>
      </c>
      <c r="I215" s="57">
        <v>171</v>
      </c>
      <c r="J215" s="57">
        <v>35</v>
      </c>
      <c r="K215" s="56">
        <v>1</v>
      </c>
      <c r="L215" s="56">
        <v>10072</v>
      </c>
      <c r="M215" s="98">
        <v>9442</v>
      </c>
      <c r="N215" s="98">
        <v>73.3</v>
      </c>
      <c r="O215" s="98">
        <v>4631</v>
      </c>
      <c r="P215" s="98">
        <v>41288</v>
      </c>
    </row>
    <row r="216" spans="1:16">
      <c r="A216" s="55" t="s">
        <v>537</v>
      </c>
      <c r="B216" s="55">
        <v>5495</v>
      </c>
      <c r="C216" s="56" t="s">
        <v>676</v>
      </c>
      <c r="D216" s="59">
        <v>10667.029</v>
      </c>
      <c r="E216" s="58">
        <v>197</v>
      </c>
      <c r="F216" s="56">
        <v>71</v>
      </c>
      <c r="G216" s="57">
        <v>0</v>
      </c>
      <c r="H216" s="57">
        <v>0</v>
      </c>
      <c r="I216" s="57">
        <v>7</v>
      </c>
      <c r="J216" s="57">
        <v>12</v>
      </c>
      <c r="K216" s="56">
        <v>0</v>
      </c>
      <c r="L216" s="56">
        <v>3257</v>
      </c>
      <c r="M216" s="98">
        <v>3070</v>
      </c>
      <c r="N216" s="98">
        <v>66.7</v>
      </c>
      <c r="O216" s="98">
        <v>735</v>
      </c>
      <c r="P216" s="98">
        <v>12217</v>
      </c>
    </row>
    <row r="217" spans="1:16">
      <c r="A217" s="55" t="s">
        <v>538</v>
      </c>
      <c r="B217" s="55">
        <v>5496</v>
      </c>
      <c r="C217" s="56" t="s">
        <v>673</v>
      </c>
      <c r="D217" s="59">
        <v>7201.0360000000001</v>
      </c>
      <c r="E217" s="58">
        <v>251</v>
      </c>
      <c r="F217" s="56">
        <v>52</v>
      </c>
      <c r="G217" s="57">
        <v>0</v>
      </c>
      <c r="H217" s="57">
        <v>71.3</v>
      </c>
      <c r="I217" s="57">
        <v>33</v>
      </c>
      <c r="J217" s="57">
        <v>16</v>
      </c>
      <c r="K217" s="56">
        <v>0</v>
      </c>
      <c r="L217" s="56">
        <v>1760</v>
      </c>
      <c r="M217" s="98">
        <v>1679</v>
      </c>
      <c r="N217" s="98">
        <v>20.8</v>
      </c>
      <c r="O217" s="98">
        <v>473</v>
      </c>
      <c r="P217" s="98">
        <v>9833</v>
      </c>
    </row>
    <row r="218" spans="1:16">
      <c r="A218" s="55" t="s">
        <v>624</v>
      </c>
      <c r="B218" s="55">
        <v>5531</v>
      </c>
      <c r="C218" s="56" t="s">
        <v>673</v>
      </c>
      <c r="D218" s="59">
        <v>1644.029</v>
      </c>
      <c r="E218" s="58">
        <v>361</v>
      </c>
      <c r="F218" s="56">
        <v>174</v>
      </c>
      <c r="G218" s="57">
        <v>316</v>
      </c>
      <c r="H218" s="57">
        <v>95.58</v>
      </c>
      <c r="I218" s="57">
        <v>32</v>
      </c>
      <c r="J218" s="57">
        <v>11</v>
      </c>
      <c r="K218" s="56">
        <v>0</v>
      </c>
      <c r="L218" s="56">
        <v>421</v>
      </c>
      <c r="M218" s="98">
        <v>399</v>
      </c>
      <c r="N218" s="98">
        <v>4.0999999999999996</v>
      </c>
      <c r="O218" s="98">
        <v>51</v>
      </c>
      <c r="P218" s="98">
        <v>211</v>
      </c>
    </row>
    <row r="219" spans="1:16">
      <c r="A219" s="55" t="s">
        <v>539</v>
      </c>
      <c r="B219" s="55">
        <v>5860</v>
      </c>
      <c r="C219" s="56" t="s">
        <v>673</v>
      </c>
      <c r="D219" s="59">
        <v>7464.9610000000002</v>
      </c>
      <c r="E219" s="58">
        <v>173</v>
      </c>
      <c r="F219" s="56">
        <v>18</v>
      </c>
      <c r="G219" s="57">
        <v>0</v>
      </c>
      <c r="H219" s="57">
        <v>159.81</v>
      </c>
      <c r="I219" s="57">
        <v>11</v>
      </c>
      <c r="J219" s="57">
        <v>0</v>
      </c>
      <c r="K219" s="56">
        <v>0</v>
      </c>
      <c r="L219" s="56">
        <v>1497</v>
      </c>
      <c r="M219" s="98">
        <v>1425</v>
      </c>
      <c r="N219" s="98">
        <v>19.3</v>
      </c>
      <c r="O219" s="98">
        <v>286</v>
      </c>
      <c r="P219" s="98">
        <v>12746</v>
      </c>
    </row>
    <row r="220" spans="1:16">
      <c r="A220" s="55" t="s">
        <v>540</v>
      </c>
      <c r="B220" s="55">
        <v>5533</v>
      </c>
      <c r="C220" s="56" t="s">
        <v>673</v>
      </c>
      <c r="D220" s="59">
        <v>2156.0940000000001</v>
      </c>
      <c r="E220" s="58">
        <v>270</v>
      </c>
      <c r="F220" s="56">
        <v>177</v>
      </c>
      <c r="G220" s="57">
        <v>2</v>
      </c>
      <c r="H220" s="57">
        <v>194.61</v>
      </c>
      <c r="I220" s="57">
        <v>79</v>
      </c>
      <c r="J220" s="57">
        <v>46</v>
      </c>
      <c r="K220" s="56">
        <v>5</v>
      </c>
      <c r="L220" s="56">
        <v>829</v>
      </c>
      <c r="M220" s="98">
        <v>776</v>
      </c>
      <c r="N220" s="98">
        <v>3.3</v>
      </c>
      <c r="O220" s="98">
        <v>199</v>
      </c>
      <c r="P220" s="98">
        <v>6688</v>
      </c>
    </row>
    <row r="221" spans="1:16">
      <c r="A221" s="55" t="s">
        <v>541</v>
      </c>
      <c r="B221" s="55">
        <v>5497</v>
      </c>
      <c r="C221" s="56" t="s">
        <v>673</v>
      </c>
      <c r="D221" s="59">
        <v>4224.1000000000004</v>
      </c>
      <c r="E221" s="58">
        <v>308</v>
      </c>
      <c r="F221" s="56">
        <v>85</v>
      </c>
      <c r="G221" s="57">
        <v>520</v>
      </c>
      <c r="H221" s="57">
        <v>130.16</v>
      </c>
      <c r="I221" s="57">
        <v>4</v>
      </c>
      <c r="J221" s="57">
        <v>0</v>
      </c>
      <c r="K221" s="56">
        <v>3</v>
      </c>
      <c r="L221" s="56">
        <v>851</v>
      </c>
      <c r="M221" s="98">
        <v>803</v>
      </c>
      <c r="N221" s="98">
        <v>51.7</v>
      </c>
      <c r="O221" s="98">
        <v>416</v>
      </c>
      <c r="P221" s="98">
        <v>2243</v>
      </c>
    </row>
    <row r="222" spans="1:16">
      <c r="A222" s="55" t="s">
        <v>542</v>
      </c>
      <c r="B222" s="55">
        <v>5926</v>
      </c>
      <c r="C222" s="56" t="s">
        <v>673</v>
      </c>
      <c r="D222" s="59">
        <v>2846.0569999999998</v>
      </c>
      <c r="E222" s="58">
        <v>432</v>
      </c>
      <c r="F222" s="56">
        <v>92</v>
      </c>
      <c r="G222" s="57">
        <v>8</v>
      </c>
      <c r="H222" s="57">
        <v>304.51</v>
      </c>
      <c r="I222" s="57">
        <v>11</v>
      </c>
      <c r="J222" s="57">
        <v>74</v>
      </c>
      <c r="K222" s="56">
        <v>4</v>
      </c>
      <c r="L222" s="56">
        <v>793</v>
      </c>
      <c r="M222" s="98">
        <v>742</v>
      </c>
      <c r="N222" s="98">
        <v>7.6</v>
      </c>
      <c r="O222" s="98">
        <v>111</v>
      </c>
      <c r="P222" s="98">
        <v>3084</v>
      </c>
    </row>
    <row r="223" spans="1:16">
      <c r="A223" s="55" t="s">
        <v>543</v>
      </c>
      <c r="B223" s="55">
        <v>5725</v>
      </c>
      <c r="C223" s="56" t="s">
        <v>676</v>
      </c>
      <c r="D223" s="59">
        <v>0</v>
      </c>
      <c r="E223" s="58">
        <v>323</v>
      </c>
      <c r="F223" s="56">
        <v>79</v>
      </c>
      <c r="G223" s="57">
        <v>59</v>
      </c>
      <c r="H223" s="57">
        <v>116.1</v>
      </c>
      <c r="I223" s="57">
        <v>26</v>
      </c>
      <c r="J223" s="57">
        <v>205</v>
      </c>
      <c r="K223" s="56">
        <v>0</v>
      </c>
      <c r="L223" s="56">
        <v>4088</v>
      </c>
      <c r="M223" s="98">
        <v>3878</v>
      </c>
      <c r="N223" s="98">
        <v>613</v>
      </c>
      <c r="O223" s="98">
        <v>939</v>
      </c>
      <c r="P223" s="98">
        <v>28322</v>
      </c>
    </row>
    <row r="224" spans="1:16">
      <c r="A224" s="55" t="s">
        <v>544</v>
      </c>
      <c r="B224" s="55">
        <v>5759</v>
      </c>
      <c r="C224" s="56" t="s">
        <v>673</v>
      </c>
      <c r="D224" s="59">
        <v>716.90700000000004</v>
      </c>
      <c r="E224" s="58">
        <v>283</v>
      </c>
      <c r="F224" s="56">
        <v>298</v>
      </c>
      <c r="G224" s="57">
        <v>0</v>
      </c>
      <c r="H224" s="57">
        <v>276.06</v>
      </c>
      <c r="I224" s="57">
        <v>13</v>
      </c>
      <c r="J224" s="57">
        <v>0</v>
      </c>
      <c r="K224" s="56">
        <v>0</v>
      </c>
      <c r="L224" s="56">
        <v>215</v>
      </c>
      <c r="M224" s="98">
        <v>207</v>
      </c>
      <c r="N224" s="98">
        <v>2.5</v>
      </c>
      <c r="O224" s="98">
        <v>12</v>
      </c>
      <c r="P224" s="98">
        <v>1151</v>
      </c>
    </row>
    <row r="225" spans="1:16">
      <c r="A225" s="55" t="s">
        <v>623</v>
      </c>
      <c r="B225" s="55">
        <v>5643</v>
      </c>
      <c r="C225" s="56" t="s">
        <v>676</v>
      </c>
      <c r="D225" s="59">
        <v>16870.186000000002</v>
      </c>
      <c r="E225" s="58">
        <v>52</v>
      </c>
      <c r="F225" s="56">
        <v>9</v>
      </c>
      <c r="G225" s="57">
        <v>0</v>
      </c>
      <c r="H225" s="57">
        <v>0</v>
      </c>
      <c r="I225" s="57">
        <v>0</v>
      </c>
      <c r="J225" s="57">
        <v>0</v>
      </c>
      <c r="K225" s="56">
        <v>2</v>
      </c>
      <c r="L225" s="56">
        <v>5243</v>
      </c>
      <c r="M225" s="98">
        <v>4991</v>
      </c>
      <c r="N225" s="98">
        <v>96.8</v>
      </c>
      <c r="O225" s="98">
        <v>955</v>
      </c>
      <c r="P225" s="98">
        <v>6278</v>
      </c>
    </row>
    <row r="226" spans="1:16">
      <c r="A226" s="55" t="s">
        <v>622</v>
      </c>
      <c r="B226" s="55">
        <v>5683</v>
      </c>
      <c r="C226" s="56" t="s">
        <v>673</v>
      </c>
      <c r="D226" s="59">
        <v>608.65</v>
      </c>
      <c r="E226" s="58">
        <v>145</v>
      </c>
      <c r="F226" s="56">
        <v>22</v>
      </c>
      <c r="G226" s="57">
        <v>0</v>
      </c>
      <c r="H226" s="57">
        <v>78.150000000000006</v>
      </c>
      <c r="I226" s="57">
        <v>15</v>
      </c>
      <c r="J226" s="57">
        <v>13</v>
      </c>
      <c r="K226" s="56">
        <v>27</v>
      </c>
      <c r="L226" s="56">
        <v>194</v>
      </c>
      <c r="M226" s="98">
        <v>180</v>
      </c>
      <c r="N226" s="98">
        <v>0</v>
      </c>
      <c r="O226" s="98">
        <v>5</v>
      </c>
      <c r="P226" s="98">
        <v>1851</v>
      </c>
    </row>
    <row r="227" spans="1:16">
      <c r="A227" s="55" t="s">
        <v>545</v>
      </c>
      <c r="B227" s="55">
        <v>5589</v>
      </c>
      <c r="C227" s="56" t="s">
        <v>678</v>
      </c>
      <c r="D227" s="59">
        <v>0</v>
      </c>
      <c r="E227" s="58">
        <v>26</v>
      </c>
      <c r="F227" s="56">
        <v>15</v>
      </c>
      <c r="G227" s="57">
        <v>0</v>
      </c>
      <c r="H227" s="57">
        <v>85.71</v>
      </c>
      <c r="I227" s="57">
        <v>2</v>
      </c>
      <c r="J227" s="57">
        <v>5</v>
      </c>
      <c r="K227" s="56">
        <v>2</v>
      </c>
      <c r="L227" s="56">
        <v>12423</v>
      </c>
      <c r="M227" s="98">
        <v>11784</v>
      </c>
      <c r="N227" s="98">
        <v>320.39999999999998</v>
      </c>
      <c r="O227" s="98">
        <v>4748</v>
      </c>
      <c r="P227" s="98">
        <v>106197</v>
      </c>
    </row>
    <row r="228" spans="1:16">
      <c r="A228" s="55" t="s">
        <v>546</v>
      </c>
      <c r="B228" s="55">
        <v>5566</v>
      </c>
      <c r="C228" s="56" t="s">
        <v>673</v>
      </c>
      <c r="D228" s="59">
        <v>1678.172</v>
      </c>
      <c r="E228" s="58">
        <v>1739</v>
      </c>
      <c r="F228" s="56">
        <v>1368</v>
      </c>
      <c r="G228" s="57">
        <v>261</v>
      </c>
      <c r="H228" s="57">
        <v>788.5</v>
      </c>
      <c r="I228" s="57">
        <v>7</v>
      </c>
      <c r="J228" s="57">
        <v>39</v>
      </c>
      <c r="K228" s="56">
        <v>8</v>
      </c>
      <c r="L228" s="56">
        <v>379</v>
      </c>
      <c r="M228" s="98">
        <v>367</v>
      </c>
      <c r="N228" s="98">
        <v>7.5</v>
      </c>
      <c r="O228" s="98">
        <v>41</v>
      </c>
      <c r="P228" s="98">
        <v>4007</v>
      </c>
    </row>
    <row r="229" spans="1:16">
      <c r="A229" s="55" t="s">
        <v>547</v>
      </c>
      <c r="B229" s="55">
        <v>5607</v>
      </c>
      <c r="C229" s="56" t="s">
        <v>673</v>
      </c>
      <c r="D229" s="59">
        <v>21174.585999999999</v>
      </c>
      <c r="E229" s="58">
        <v>1402</v>
      </c>
      <c r="F229" s="56">
        <v>555</v>
      </c>
      <c r="G229" s="57">
        <v>117</v>
      </c>
      <c r="H229" s="57">
        <v>1335.43</v>
      </c>
      <c r="I229" s="57">
        <v>55</v>
      </c>
      <c r="J229" s="57">
        <v>253</v>
      </c>
      <c r="K229" s="56">
        <v>250</v>
      </c>
      <c r="L229" s="56">
        <v>2881</v>
      </c>
      <c r="M229" s="98">
        <v>2728</v>
      </c>
      <c r="N229" s="98">
        <v>86.1</v>
      </c>
      <c r="O229" s="98">
        <v>1325</v>
      </c>
      <c r="P229" s="98">
        <v>8729</v>
      </c>
    </row>
    <row r="230" spans="1:16">
      <c r="A230" s="55" t="s">
        <v>548</v>
      </c>
      <c r="B230" s="55">
        <v>5590</v>
      </c>
      <c r="C230" s="56" t="s">
        <v>678</v>
      </c>
      <c r="D230" s="59">
        <v>0</v>
      </c>
      <c r="E230" s="58">
        <v>115</v>
      </c>
      <c r="F230" s="56">
        <v>144</v>
      </c>
      <c r="G230" s="57">
        <v>3</v>
      </c>
      <c r="H230" s="57">
        <v>156.66999999999999</v>
      </c>
      <c r="I230" s="57">
        <v>0</v>
      </c>
      <c r="J230" s="57">
        <v>63</v>
      </c>
      <c r="K230" s="56">
        <v>0</v>
      </c>
      <c r="L230" s="56">
        <v>18495</v>
      </c>
      <c r="M230" s="98">
        <v>17544</v>
      </c>
      <c r="N230" s="98">
        <v>123.9</v>
      </c>
      <c r="O230" s="98">
        <v>3181</v>
      </c>
      <c r="P230" s="98">
        <v>66808</v>
      </c>
    </row>
    <row r="231" spans="1:16">
      <c r="A231" s="55" t="s">
        <v>549</v>
      </c>
      <c r="B231" s="55">
        <v>5760</v>
      </c>
      <c r="C231" s="56" t="s">
        <v>673</v>
      </c>
      <c r="D231" s="59">
        <v>1441.778</v>
      </c>
      <c r="E231" s="58">
        <v>593</v>
      </c>
      <c r="F231" s="56">
        <v>337</v>
      </c>
      <c r="G231" s="57">
        <v>5</v>
      </c>
      <c r="H231" s="57">
        <v>306.77</v>
      </c>
      <c r="I231" s="57">
        <v>17</v>
      </c>
      <c r="J231" s="57">
        <v>6</v>
      </c>
      <c r="K231" s="56">
        <v>1</v>
      </c>
      <c r="L231" s="56">
        <v>505</v>
      </c>
      <c r="M231" s="98">
        <v>473</v>
      </c>
      <c r="N231" s="98">
        <v>7.9</v>
      </c>
      <c r="O231" s="98">
        <v>17</v>
      </c>
      <c r="P231" s="98">
        <v>4540</v>
      </c>
    </row>
    <row r="232" spans="1:16">
      <c r="A232" s="55" t="s">
        <v>690</v>
      </c>
      <c r="B232" s="55">
        <v>5591</v>
      </c>
      <c r="C232" s="56" t="s">
        <v>678</v>
      </c>
      <c r="D232" s="59">
        <v>0</v>
      </c>
      <c r="E232" s="58">
        <v>7</v>
      </c>
      <c r="F232" s="56">
        <v>7</v>
      </c>
      <c r="G232" s="57">
        <v>0</v>
      </c>
      <c r="H232" s="57">
        <v>0</v>
      </c>
      <c r="I232" s="57">
        <v>0</v>
      </c>
      <c r="J232" s="57">
        <v>0</v>
      </c>
      <c r="K232" s="56">
        <v>0</v>
      </c>
      <c r="L232" s="56">
        <v>20928</v>
      </c>
      <c r="M232" s="98">
        <v>19832</v>
      </c>
      <c r="N232" s="98">
        <v>540.29999999999995</v>
      </c>
      <c r="O232" s="98">
        <v>9603</v>
      </c>
      <c r="P232" s="98">
        <v>17689</v>
      </c>
    </row>
    <row r="233" spans="1:16">
      <c r="A233" s="55" t="s">
        <v>550</v>
      </c>
      <c r="B233" s="55">
        <v>5412</v>
      </c>
      <c r="C233" s="56" t="s">
        <v>673</v>
      </c>
      <c r="D233" s="59">
        <v>9163.8289999999997</v>
      </c>
      <c r="E233" s="58">
        <v>135</v>
      </c>
      <c r="F233" s="56">
        <v>4</v>
      </c>
      <c r="G233" s="57">
        <v>0</v>
      </c>
      <c r="H233" s="57">
        <v>48.26</v>
      </c>
      <c r="I233" s="57">
        <v>20</v>
      </c>
      <c r="J233" s="57">
        <v>0</v>
      </c>
      <c r="K233" s="56">
        <v>11</v>
      </c>
      <c r="L233" s="56">
        <v>871</v>
      </c>
      <c r="M233" s="98">
        <v>816</v>
      </c>
      <c r="N233" s="98">
        <v>63.6</v>
      </c>
      <c r="O233" s="98">
        <v>578</v>
      </c>
      <c r="P233" s="98">
        <v>50593</v>
      </c>
    </row>
    <row r="234" spans="1:16">
      <c r="A234" s="55" t="s">
        <v>552</v>
      </c>
      <c r="B234" s="55">
        <v>5609</v>
      </c>
      <c r="C234" s="56" t="s">
        <v>673</v>
      </c>
      <c r="D234" s="59">
        <v>840.83600000000001</v>
      </c>
      <c r="E234" s="58">
        <v>21</v>
      </c>
      <c r="F234" s="56">
        <v>0</v>
      </c>
      <c r="G234" s="57">
        <v>0</v>
      </c>
      <c r="H234" s="57">
        <v>0</v>
      </c>
      <c r="I234" s="57">
        <v>0</v>
      </c>
      <c r="J234" s="57">
        <v>0</v>
      </c>
      <c r="K234" s="56">
        <v>0</v>
      </c>
      <c r="L234" s="56">
        <v>342</v>
      </c>
      <c r="M234" s="98">
        <v>328</v>
      </c>
      <c r="N234" s="98">
        <v>0</v>
      </c>
      <c r="O234" s="98">
        <v>25</v>
      </c>
      <c r="P234" s="98">
        <v>203</v>
      </c>
    </row>
    <row r="235" spans="1:16">
      <c r="A235" s="55" t="s">
        <v>621</v>
      </c>
      <c r="B235" s="55">
        <v>5413</v>
      </c>
      <c r="C235" s="56" t="s">
        <v>673</v>
      </c>
      <c r="D235" s="59">
        <v>10044.835999999999</v>
      </c>
      <c r="E235" s="58">
        <v>318</v>
      </c>
      <c r="F235" s="56">
        <v>193</v>
      </c>
      <c r="G235" s="57">
        <v>0</v>
      </c>
      <c r="H235" s="57">
        <v>136.19999999999999</v>
      </c>
      <c r="I235" s="57">
        <v>38</v>
      </c>
      <c r="J235" s="57">
        <v>0</v>
      </c>
      <c r="K235" s="56">
        <v>4</v>
      </c>
      <c r="L235" s="56">
        <v>1826</v>
      </c>
      <c r="M235" s="98">
        <v>1670</v>
      </c>
      <c r="N235" s="98">
        <v>55.9</v>
      </c>
      <c r="O235" s="98">
        <v>398</v>
      </c>
      <c r="P235" s="98">
        <v>4006</v>
      </c>
    </row>
    <row r="236" spans="1:16">
      <c r="A236" s="55" t="s">
        <v>553</v>
      </c>
      <c r="B236" s="55">
        <v>5861</v>
      </c>
      <c r="C236" s="56" t="s">
        <v>675</v>
      </c>
      <c r="D236" s="59">
        <v>28867.164000000001</v>
      </c>
      <c r="E236" s="58">
        <v>60</v>
      </c>
      <c r="F236" s="56">
        <v>18</v>
      </c>
      <c r="G236" s="57">
        <v>0</v>
      </c>
      <c r="H236" s="57">
        <v>0</v>
      </c>
      <c r="I236" s="57">
        <v>0</v>
      </c>
      <c r="J236" s="57">
        <v>0</v>
      </c>
      <c r="K236" s="56">
        <v>0</v>
      </c>
      <c r="L236" s="56">
        <v>6245</v>
      </c>
      <c r="M236" s="98">
        <v>5904</v>
      </c>
      <c r="N236" s="98">
        <v>381.1</v>
      </c>
      <c r="O236" s="98">
        <v>2716</v>
      </c>
      <c r="P236" s="98">
        <v>33575</v>
      </c>
    </row>
    <row r="237" spans="1:16">
      <c r="A237" s="55" t="s">
        <v>620</v>
      </c>
      <c r="B237" s="55">
        <v>5761</v>
      </c>
      <c r="C237" s="56" t="s">
        <v>673</v>
      </c>
      <c r="D237" s="59">
        <v>2278.0430000000001</v>
      </c>
      <c r="E237" s="58">
        <v>185</v>
      </c>
      <c r="F237" s="56">
        <v>470</v>
      </c>
      <c r="G237" s="57">
        <v>0</v>
      </c>
      <c r="H237" s="57">
        <v>141.69999999999999</v>
      </c>
      <c r="I237" s="57">
        <v>14</v>
      </c>
      <c r="J237" s="57">
        <v>6</v>
      </c>
      <c r="K237" s="56">
        <v>31</v>
      </c>
      <c r="L237" s="56">
        <v>535</v>
      </c>
      <c r="M237" s="98">
        <v>515</v>
      </c>
      <c r="N237" s="98">
        <v>12.2</v>
      </c>
      <c r="O237" s="98">
        <v>81</v>
      </c>
      <c r="P237" s="98">
        <v>774</v>
      </c>
    </row>
    <row r="238" spans="1:16">
      <c r="A238" s="55" t="s">
        <v>691</v>
      </c>
      <c r="B238" s="55">
        <v>5592</v>
      </c>
      <c r="C238" s="56" t="s">
        <v>676</v>
      </c>
      <c r="D238" s="59">
        <v>0</v>
      </c>
      <c r="E238" s="58">
        <v>166</v>
      </c>
      <c r="F238" s="56">
        <v>10</v>
      </c>
      <c r="G238" s="57">
        <v>0</v>
      </c>
      <c r="H238" s="57">
        <v>1.1000000000000001</v>
      </c>
      <c r="I238" s="57">
        <v>0</v>
      </c>
      <c r="J238" s="57">
        <v>12</v>
      </c>
      <c r="K238" s="56">
        <v>0</v>
      </c>
      <c r="L238" s="56">
        <v>3294</v>
      </c>
      <c r="M238" s="98">
        <v>3125</v>
      </c>
      <c r="N238" s="98">
        <v>111.2</v>
      </c>
      <c r="O238" s="98">
        <v>1088</v>
      </c>
      <c r="P238" s="98">
        <v>16332</v>
      </c>
    </row>
    <row r="239" spans="1:16">
      <c r="A239" s="55" t="s">
        <v>619</v>
      </c>
      <c r="B239" s="55">
        <v>5645</v>
      </c>
      <c r="C239" s="56" t="s">
        <v>673</v>
      </c>
      <c r="D239" s="59">
        <v>4245.1210000000001</v>
      </c>
      <c r="E239" s="58">
        <v>113</v>
      </c>
      <c r="F239" s="56">
        <v>28</v>
      </c>
      <c r="G239" s="57">
        <v>0</v>
      </c>
      <c r="H239" s="57">
        <v>73.319999999999993</v>
      </c>
      <c r="I239" s="57">
        <v>8</v>
      </c>
      <c r="J239" s="57">
        <v>8</v>
      </c>
      <c r="K239" s="56">
        <v>6</v>
      </c>
      <c r="L239" s="56">
        <v>470</v>
      </c>
      <c r="M239" s="98">
        <v>455</v>
      </c>
      <c r="N239" s="98">
        <v>51.7</v>
      </c>
      <c r="O239" s="98">
        <v>347</v>
      </c>
      <c r="P239" s="98">
        <v>2789</v>
      </c>
    </row>
    <row r="240" spans="1:16">
      <c r="A240" s="55" t="s">
        <v>554</v>
      </c>
      <c r="B240" s="55">
        <v>5798</v>
      </c>
      <c r="C240" s="56" t="s">
        <v>673</v>
      </c>
      <c r="D240" s="59">
        <v>2073.5610000000001</v>
      </c>
      <c r="E240" s="58">
        <v>336</v>
      </c>
      <c r="F240" s="56">
        <v>97</v>
      </c>
      <c r="G240" s="57">
        <v>887</v>
      </c>
      <c r="H240" s="57">
        <v>290.20999999999998</v>
      </c>
      <c r="I240" s="57">
        <v>15</v>
      </c>
      <c r="J240" s="57">
        <v>6</v>
      </c>
      <c r="K240" s="56">
        <v>20</v>
      </c>
      <c r="L240" s="56">
        <v>488</v>
      </c>
      <c r="M240" s="98">
        <v>443</v>
      </c>
      <c r="N240" s="98">
        <v>6.6</v>
      </c>
      <c r="O240" s="98">
        <v>53</v>
      </c>
      <c r="P240" s="98">
        <v>7076</v>
      </c>
    </row>
    <row r="241" spans="1:16">
      <c r="A241" s="55" t="s">
        <v>555</v>
      </c>
      <c r="B241" s="55">
        <v>5684</v>
      </c>
      <c r="C241" s="56" t="s">
        <v>673</v>
      </c>
      <c r="D241" s="59">
        <v>245.56700000000001</v>
      </c>
      <c r="E241" s="58">
        <v>99</v>
      </c>
      <c r="F241" s="56">
        <v>4</v>
      </c>
      <c r="G241" s="57">
        <v>0</v>
      </c>
      <c r="H241" s="57">
        <v>79.44</v>
      </c>
      <c r="I241" s="57">
        <v>0</v>
      </c>
      <c r="J241" s="57">
        <v>0</v>
      </c>
      <c r="K241" s="56">
        <v>0</v>
      </c>
      <c r="L241" s="56">
        <v>84</v>
      </c>
      <c r="M241" s="98">
        <v>78</v>
      </c>
      <c r="N241" s="98">
        <v>0</v>
      </c>
      <c r="O241" s="98">
        <v>1</v>
      </c>
      <c r="P241" s="98">
        <v>2430</v>
      </c>
    </row>
    <row r="242" spans="1:16">
      <c r="A242" s="55" t="s">
        <v>692</v>
      </c>
      <c r="B242" s="55">
        <v>5842</v>
      </c>
      <c r="C242" s="56" t="s">
        <v>677</v>
      </c>
      <c r="D242" s="59">
        <v>0</v>
      </c>
      <c r="E242" s="58">
        <v>876</v>
      </c>
      <c r="F242" s="56">
        <v>1175</v>
      </c>
      <c r="G242" s="57">
        <v>0</v>
      </c>
      <c r="H242" s="57">
        <v>352.16</v>
      </c>
      <c r="I242" s="57">
        <v>7</v>
      </c>
      <c r="J242" s="57">
        <v>841</v>
      </c>
      <c r="K242" s="56">
        <v>16</v>
      </c>
      <c r="L242" s="56">
        <v>548</v>
      </c>
      <c r="M242" s="98">
        <v>522</v>
      </c>
      <c r="N242" s="98">
        <v>0</v>
      </c>
      <c r="O242" s="98">
        <v>63</v>
      </c>
      <c r="P242" s="98">
        <v>2663</v>
      </c>
    </row>
    <row r="243" spans="1:16">
      <c r="A243" s="55" t="s">
        <v>556</v>
      </c>
      <c r="B243" s="55">
        <v>5843</v>
      </c>
      <c r="C243" s="56" t="s">
        <v>677</v>
      </c>
      <c r="D243" s="59">
        <v>0</v>
      </c>
      <c r="E243" s="58">
        <v>2312</v>
      </c>
      <c r="F243" s="56">
        <v>1656</v>
      </c>
      <c r="G243" s="57">
        <v>27</v>
      </c>
      <c r="H243" s="57">
        <v>824.59</v>
      </c>
      <c r="I243" s="57">
        <v>18</v>
      </c>
      <c r="J243" s="57">
        <v>117</v>
      </c>
      <c r="K243" s="56">
        <v>16</v>
      </c>
      <c r="L243" s="56">
        <v>858</v>
      </c>
      <c r="M243" s="98">
        <v>816</v>
      </c>
      <c r="N243" s="98">
        <v>7.2</v>
      </c>
      <c r="O243" s="98">
        <v>129</v>
      </c>
      <c r="P243" s="98">
        <v>12351</v>
      </c>
    </row>
    <row r="244" spans="1:16">
      <c r="A244" s="55" t="s">
        <v>557</v>
      </c>
      <c r="B244" s="55">
        <v>5928</v>
      </c>
      <c r="C244" s="56" t="s">
        <v>673</v>
      </c>
      <c r="D244" s="59">
        <v>656.49400000000003</v>
      </c>
      <c r="E244" s="58">
        <v>234</v>
      </c>
      <c r="F244" s="56">
        <v>65</v>
      </c>
      <c r="G244" s="57">
        <v>0</v>
      </c>
      <c r="H244" s="57">
        <v>332.08</v>
      </c>
      <c r="I244" s="57">
        <v>7</v>
      </c>
      <c r="J244" s="57">
        <v>45</v>
      </c>
      <c r="K244" s="56">
        <v>1</v>
      </c>
      <c r="L244" s="56">
        <v>185</v>
      </c>
      <c r="M244" s="98">
        <v>170</v>
      </c>
      <c r="N244" s="98">
        <v>1.8</v>
      </c>
      <c r="O244" s="98">
        <v>7</v>
      </c>
      <c r="P244" s="98">
        <v>1722</v>
      </c>
    </row>
    <row r="245" spans="1:16">
      <c r="A245" s="55" t="s">
        <v>558</v>
      </c>
      <c r="B245" s="55">
        <v>5534</v>
      </c>
      <c r="C245" s="56" t="s">
        <v>673</v>
      </c>
      <c r="D245" s="59">
        <v>6963.3710000000001</v>
      </c>
      <c r="E245" s="58">
        <v>134</v>
      </c>
      <c r="F245" s="56">
        <v>38</v>
      </c>
      <c r="G245" s="57">
        <v>0</v>
      </c>
      <c r="H245" s="57">
        <v>120.23</v>
      </c>
      <c r="I245" s="57">
        <v>17</v>
      </c>
      <c r="J245" s="57">
        <v>0</v>
      </c>
      <c r="K245" s="56">
        <v>9</v>
      </c>
      <c r="L245" s="56">
        <v>265</v>
      </c>
      <c r="M245" s="98">
        <v>249</v>
      </c>
      <c r="N245" s="98">
        <v>9.5</v>
      </c>
      <c r="O245" s="98">
        <v>46</v>
      </c>
      <c r="P245" s="98">
        <v>253</v>
      </c>
    </row>
    <row r="246" spans="1:16">
      <c r="A246" s="55" t="s">
        <v>618</v>
      </c>
      <c r="B246" s="55">
        <v>5535</v>
      </c>
      <c r="C246" s="56" t="s">
        <v>673</v>
      </c>
      <c r="D246" s="59">
        <v>2452.8560000000002</v>
      </c>
      <c r="E246" s="58">
        <v>331</v>
      </c>
      <c r="F246" s="56">
        <v>50</v>
      </c>
      <c r="G246" s="57">
        <v>49</v>
      </c>
      <c r="H246" s="57">
        <v>192.31</v>
      </c>
      <c r="I246" s="57">
        <v>13</v>
      </c>
      <c r="J246" s="57">
        <v>70</v>
      </c>
      <c r="K246" s="56">
        <v>10</v>
      </c>
      <c r="L246" s="56">
        <v>791</v>
      </c>
      <c r="M246" s="98">
        <v>750</v>
      </c>
      <c r="N246" s="98">
        <v>19.100000000000001</v>
      </c>
      <c r="O246" s="98">
        <v>210</v>
      </c>
      <c r="P246" s="98">
        <v>710</v>
      </c>
    </row>
    <row r="247" spans="1:16">
      <c r="A247" s="55" t="s">
        <v>559</v>
      </c>
      <c r="B247" s="55">
        <v>5727</v>
      </c>
      <c r="C247" s="56" t="s">
        <v>673</v>
      </c>
      <c r="D247" s="59">
        <v>14933.2</v>
      </c>
      <c r="E247" s="58">
        <v>648</v>
      </c>
      <c r="F247" s="56">
        <v>1607</v>
      </c>
      <c r="G247" s="57">
        <v>0</v>
      </c>
      <c r="H247" s="57">
        <v>0</v>
      </c>
      <c r="I247" s="57">
        <v>0</v>
      </c>
      <c r="J247" s="57">
        <v>46</v>
      </c>
      <c r="K247" s="56">
        <v>6</v>
      </c>
      <c r="L247" s="56">
        <v>2603</v>
      </c>
      <c r="M247" s="98">
        <v>2461</v>
      </c>
      <c r="N247" s="98">
        <v>108.1</v>
      </c>
      <c r="O247" s="98">
        <v>85</v>
      </c>
      <c r="P247" s="98">
        <v>13361</v>
      </c>
    </row>
    <row r="248" spans="1:16">
      <c r="A248" s="55" t="s">
        <v>560</v>
      </c>
      <c r="B248" s="55">
        <v>5434</v>
      </c>
      <c r="C248" s="56" t="s">
        <v>673</v>
      </c>
      <c r="D248" s="59">
        <v>4274.7</v>
      </c>
      <c r="E248" s="58">
        <v>210</v>
      </c>
      <c r="F248" s="56">
        <v>941</v>
      </c>
      <c r="G248" s="57">
        <v>295</v>
      </c>
      <c r="H248" s="57">
        <v>177.59</v>
      </c>
      <c r="I248" s="57">
        <v>36</v>
      </c>
      <c r="J248" s="57">
        <v>621</v>
      </c>
      <c r="K248" s="56">
        <v>0</v>
      </c>
      <c r="L248" s="56">
        <v>1063</v>
      </c>
      <c r="M248" s="98">
        <v>1012</v>
      </c>
      <c r="N248" s="98">
        <v>12.3</v>
      </c>
      <c r="O248" s="98">
        <v>62</v>
      </c>
      <c r="P248" s="98">
        <v>1977</v>
      </c>
    </row>
    <row r="249" spans="1:16">
      <c r="A249" s="55" t="s">
        <v>617</v>
      </c>
      <c r="B249" s="55">
        <v>5888</v>
      </c>
      <c r="C249" s="56" t="s">
        <v>676</v>
      </c>
      <c r="D249" s="59">
        <v>20271.357</v>
      </c>
      <c r="E249" s="58">
        <v>483</v>
      </c>
      <c r="F249" s="56">
        <v>689</v>
      </c>
      <c r="G249" s="57">
        <v>0</v>
      </c>
      <c r="H249" s="57">
        <v>214.11</v>
      </c>
      <c r="I249" s="57">
        <v>54</v>
      </c>
      <c r="J249" s="57">
        <v>20</v>
      </c>
      <c r="K249" s="56">
        <v>13</v>
      </c>
      <c r="L249" s="56">
        <v>5243</v>
      </c>
      <c r="M249" s="98">
        <v>5041</v>
      </c>
      <c r="N249" s="98">
        <v>119.2</v>
      </c>
      <c r="O249" s="98">
        <v>2049</v>
      </c>
      <c r="P249" s="98">
        <v>46345</v>
      </c>
    </row>
    <row r="250" spans="1:16">
      <c r="A250" s="55" t="s">
        <v>561</v>
      </c>
      <c r="B250" s="55">
        <v>5435</v>
      </c>
      <c r="C250" s="56" t="s">
        <v>673</v>
      </c>
      <c r="D250" s="59">
        <v>0</v>
      </c>
      <c r="E250" s="58">
        <v>400</v>
      </c>
      <c r="F250" s="56">
        <v>354</v>
      </c>
      <c r="G250" s="57">
        <v>2</v>
      </c>
      <c r="H250" s="57">
        <v>282.58999999999997</v>
      </c>
      <c r="I250" s="57">
        <v>15</v>
      </c>
      <c r="J250" s="57">
        <v>636</v>
      </c>
      <c r="K250" s="56">
        <v>0</v>
      </c>
      <c r="L250" s="56">
        <v>691</v>
      </c>
      <c r="M250" s="98">
        <v>654</v>
      </c>
      <c r="N250" s="98">
        <v>6.1</v>
      </c>
      <c r="O250" s="98">
        <v>12</v>
      </c>
      <c r="P250" s="98">
        <v>1369</v>
      </c>
    </row>
    <row r="251" spans="1:16">
      <c r="A251" s="55" t="s">
        <v>562</v>
      </c>
      <c r="B251" s="55">
        <v>5436</v>
      </c>
      <c r="C251" s="56" t="s">
        <v>673</v>
      </c>
      <c r="D251" s="59">
        <v>1358.0640000000001</v>
      </c>
      <c r="E251" s="58">
        <v>171</v>
      </c>
      <c r="F251" s="56">
        <v>119</v>
      </c>
      <c r="G251" s="57">
        <v>0</v>
      </c>
      <c r="H251" s="57">
        <v>124.54</v>
      </c>
      <c r="I251" s="57">
        <v>11</v>
      </c>
      <c r="J251" s="57">
        <v>0</v>
      </c>
      <c r="K251" s="56">
        <v>2</v>
      </c>
      <c r="L251" s="56">
        <v>447</v>
      </c>
      <c r="M251" s="98">
        <v>415</v>
      </c>
      <c r="N251" s="98">
        <v>0</v>
      </c>
      <c r="O251" s="98">
        <v>13</v>
      </c>
      <c r="P251" s="98">
        <v>3159</v>
      </c>
    </row>
    <row r="252" spans="1:16">
      <c r="A252" s="55" t="s">
        <v>563</v>
      </c>
      <c r="B252" s="55">
        <v>5646</v>
      </c>
      <c r="C252" s="56" t="s">
        <v>676</v>
      </c>
      <c r="D252" s="59">
        <v>65469.756000000001</v>
      </c>
      <c r="E252" s="58">
        <v>280</v>
      </c>
      <c r="F252" s="56">
        <v>44</v>
      </c>
      <c r="G252" s="57">
        <v>10</v>
      </c>
      <c r="H252" s="57">
        <v>43.97</v>
      </c>
      <c r="I252" s="57">
        <v>14</v>
      </c>
      <c r="J252" s="57">
        <v>34</v>
      </c>
      <c r="K252" s="56">
        <v>0</v>
      </c>
      <c r="L252" s="56">
        <v>5774</v>
      </c>
      <c r="M252" s="98">
        <v>5486</v>
      </c>
      <c r="N252" s="98">
        <v>368.5</v>
      </c>
      <c r="O252" s="98">
        <v>1661</v>
      </c>
      <c r="P252" s="98">
        <v>25203</v>
      </c>
    </row>
    <row r="253" spans="1:16">
      <c r="A253" s="55" t="s">
        <v>564</v>
      </c>
      <c r="B253" s="55">
        <v>5610</v>
      </c>
      <c r="C253" s="56" t="s">
        <v>673</v>
      </c>
      <c r="D253" s="59">
        <v>1412.107</v>
      </c>
      <c r="E253" s="58">
        <v>50</v>
      </c>
      <c r="F253" s="56">
        <v>10</v>
      </c>
      <c r="G253" s="57">
        <v>0</v>
      </c>
      <c r="H253" s="57">
        <v>3.59</v>
      </c>
      <c r="I253" s="57">
        <v>39</v>
      </c>
      <c r="J253" s="57">
        <v>3</v>
      </c>
      <c r="K253" s="56">
        <v>2</v>
      </c>
      <c r="L253" s="56">
        <v>384</v>
      </c>
      <c r="M253" s="98">
        <v>364</v>
      </c>
      <c r="N253" s="98">
        <v>1.3</v>
      </c>
      <c r="O253" s="98">
        <v>34</v>
      </c>
      <c r="P253" s="98">
        <v>2454</v>
      </c>
    </row>
    <row r="254" spans="1:16">
      <c r="A254" s="55" t="s">
        <v>693</v>
      </c>
      <c r="B254" s="55">
        <v>5648</v>
      </c>
      <c r="C254" s="56" t="s">
        <v>676</v>
      </c>
      <c r="D254" s="59">
        <v>0</v>
      </c>
      <c r="E254" s="58">
        <v>27</v>
      </c>
      <c r="F254" s="56">
        <v>12</v>
      </c>
      <c r="G254" s="57">
        <v>0</v>
      </c>
      <c r="H254" s="57">
        <v>0</v>
      </c>
      <c r="I254" s="57">
        <v>4</v>
      </c>
      <c r="J254" s="57">
        <v>0</v>
      </c>
      <c r="K254" s="56">
        <v>0</v>
      </c>
      <c r="L254" s="56">
        <v>4717</v>
      </c>
      <c r="M254" s="98">
        <v>4473</v>
      </c>
      <c r="N254" s="98">
        <v>53.4</v>
      </c>
      <c r="O254" s="98">
        <v>989</v>
      </c>
      <c r="P254" s="98">
        <v>44954</v>
      </c>
    </row>
    <row r="255" spans="1:16">
      <c r="A255" s="55" t="s">
        <v>565</v>
      </c>
      <c r="B255" s="55">
        <v>5568</v>
      </c>
      <c r="C255" s="56" t="s">
        <v>675</v>
      </c>
      <c r="D255" s="59">
        <v>21129.364000000001</v>
      </c>
      <c r="E255" s="58">
        <v>1596</v>
      </c>
      <c r="F255" s="56">
        <v>2000</v>
      </c>
      <c r="G255" s="57">
        <v>150</v>
      </c>
      <c r="H255" s="57">
        <v>870.5</v>
      </c>
      <c r="I255" s="57">
        <v>61</v>
      </c>
      <c r="J255" s="57">
        <v>88</v>
      </c>
      <c r="K255" s="56">
        <v>61</v>
      </c>
      <c r="L255" s="56">
        <v>4888</v>
      </c>
      <c r="M255" s="98">
        <v>4688</v>
      </c>
      <c r="N255" s="98">
        <v>426</v>
      </c>
      <c r="O255" s="98">
        <v>309</v>
      </c>
      <c r="P255" s="98">
        <v>15847</v>
      </c>
    </row>
    <row r="256" spans="1:16">
      <c r="A256" s="55" t="s">
        <v>566</v>
      </c>
      <c r="B256" s="55">
        <v>5437</v>
      </c>
      <c r="C256" s="56" t="s">
        <v>673</v>
      </c>
      <c r="D256" s="59">
        <v>1081.8499999999999</v>
      </c>
      <c r="E256" s="58">
        <v>166</v>
      </c>
      <c r="F256" s="56">
        <v>171</v>
      </c>
      <c r="G256" s="57">
        <v>0</v>
      </c>
      <c r="H256" s="57">
        <v>53.18</v>
      </c>
      <c r="I256" s="57">
        <v>2</v>
      </c>
      <c r="J256" s="57">
        <v>15</v>
      </c>
      <c r="K256" s="56">
        <v>0</v>
      </c>
      <c r="L256" s="56">
        <v>423</v>
      </c>
      <c r="M256" s="98">
        <v>406</v>
      </c>
      <c r="N256" s="98">
        <v>0</v>
      </c>
      <c r="O256" s="98">
        <v>13</v>
      </c>
      <c r="P256" s="98">
        <v>461</v>
      </c>
    </row>
    <row r="257" spans="1:16">
      <c r="A257" s="55" t="s">
        <v>567</v>
      </c>
      <c r="B257" s="55">
        <v>5611</v>
      </c>
      <c r="C257" s="56" t="s">
        <v>673</v>
      </c>
      <c r="D257" s="59">
        <v>13257.956</v>
      </c>
      <c r="E257" s="58">
        <v>897</v>
      </c>
      <c r="F257" s="56">
        <v>490</v>
      </c>
      <c r="G257" s="57">
        <v>14</v>
      </c>
      <c r="H257" s="57">
        <v>732.03</v>
      </c>
      <c r="I257" s="57">
        <v>162</v>
      </c>
      <c r="J257" s="57">
        <v>116</v>
      </c>
      <c r="K257" s="56">
        <v>23</v>
      </c>
      <c r="L257" s="56">
        <v>3359</v>
      </c>
      <c r="M257" s="98">
        <v>3185</v>
      </c>
      <c r="N257" s="98">
        <v>42.9</v>
      </c>
      <c r="O257" s="98">
        <v>921</v>
      </c>
      <c r="P257" s="98">
        <v>7696</v>
      </c>
    </row>
    <row r="258" spans="1:16">
      <c r="A258" s="55" t="s">
        <v>568</v>
      </c>
      <c r="B258" s="55">
        <v>5499</v>
      </c>
      <c r="C258" s="56" t="s">
        <v>673</v>
      </c>
      <c r="D258" s="59">
        <v>1570.383</v>
      </c>
      <c r="E258" s="58">
        <v>344</v>
      </c>
      <c r="F258" s="56">
        <v>20</v>
      </c>
      <c r="G258" s="57">
        <v>400</v>
      </c>
      <c r="H258" s="57">
        <v>85.83</v>
      </c>
      <c r="I258" s="57">
        <v>17</v>
      </c>
      <c r="J258" s="57">
        <v>0</v>
      </c>
      <c r="K258" s="56">
        <v>0</v>
      </c>
      <c r="L258" s="56">
        <v>477</v>
      </c>
      <c r="M258" s="98">
        <v>449</v>
      </c>
      <c r="N258" s="98">
        <v>6</v>
      </c>
      <c r="O258" s="98">
        <v>63</v>
      </c>
      <c r="P258" s="98">
        <v>931</v>
      </c>
    </row>
    <row r="259" spans="1:16">
      <c r="A259" s="55" t="s">
        <v>569</v>
      </c>
      <c r="B259" s="55">
        <v>5762</v>
      </c>
      <c r="C259" s="56" t="s">
        <v>673</v>
      </c>
      <c r="D259" s="59">
        <v>698.46699999999998</v>
      </c>
      <c r="E259" s="58">
        <v>94</v>
      </c>
      <c r="F259" s="56">
        <v>31</v>
      </c>
      <c r="G259" s="57">
        <v>0</v>
      </c>
      <c r="H259" s="57">
        <v>84.48</v>
      </c>
      <c r="I259" s="57">
        <v>23</v>
      </c>
      <c r="J259" s="57">
        <v>19</v>
      </c>
      <c r="K259" s="56">
        <v>6</v>
      </c>
      <c r="L259" s="56">
        <v>145</v>
      </c>
      <c r="M259" s="98">
        <v>139</v>
      </c>
      <c r="N259" s="98">
        <v>0</v>
      </c>
      <c r="O259" s="98">
        <v>1</v>
      </c>
      <c r="P259" s="98">
        <v>325</v>
      </c>
    </row>
    <row r="260" spans="1:16">
      <c r="A260" s="55" t="s">
        <v>570</v>
      </c>
      <c r="B260" s="55">
        <v>5799</v>
      </c>
      <c r="C260" s="56" t="s">
        <v>673</v>
      </c>
      <c r="D260" s="59">
        <v>8259.4359999999997</v>
      </c>
      <c r="E260" s="58">
        <v>397</v>
      </c>
      <c r="F260" s="56">
        <v>118</v>
      </c>
      <c r="G260" s="57">
        <v>32</v>
      </c>
      <c r="H260" s="57">
        <v>175.92</v>
      </c>
      <c r="I260" s="57">
        <v>17</v>
      </c>
      <c r="J260" s="57">
        <v>9</v>
      </c>
      <c r="K260" s="56">
        <v>0</v>
      </c>
      <c r="L260" s="56">
        <v>1997</v>
      </c>
      <c r="M260" s="98">
        <v>1871</v>
      </c>
      <c r="N260" s="98">
        <v>10.3</v>
      </c>
      <c r="O260" s="98">
        <v>318</v>
      </c>
      <c r="P260" s="98">
        <v>10791</v>
      </c>
    </row>
    <row r="261" spans="1:16">
      <c r="A261" s="55" t="s">
        <v>571</v>
      </c>
      <c r="B261" s="55">
        <v>5728</v>
      </c>
      <c r="C261" s="56" t="s">
        <v>673</v>
      </c>
      <c r="D261" s="59">
        <v>7922.5360000000001</v>
      </c>
      <c r="E261" s="58">
        <v>147</v>
      </c>
      <c r="F261" s="56">
        <v>6</v>
      </c>
      <c r="G261" s="57">
        <v>0</v>
      </c>
      <c r="H261" s="57">
        <v>61.78</v>
      </c>
      <c r="I261" s="57">
        <v>70</v>
      </c>
      <c r="J261" s="57">
        <v>15</v>
      </c>
      <c r="K261" s="56">
        <v>0</v>
      </c>
      <c r="L261" s="56">
        <v>586</v>
      </c>
      <c r="M261" s="98">
        <v>545</v>
      </c>
      <c r="N261" s="98">
        <v>156.6</v>
      </c>
      <c r="O261" s="98">
        <v>403</v>
      </c>
      <c r="P261" s="98">
        <v>898</v>
      </c>
    </row>
    <row r="262" spans="1:16">
      <c r="A262" s="55" t="s">
        <v>572</v>
      </c>
      <c r="B262" s="55">
        <v>5929</v>
      </c>
      <c r="C262" s="56" t="s">
        <v>673</v>
      </c>
      <c r="D262" s="59">
        <v>1674.357</v>
      </c>
      <c r="E262" s="58">
        <v>383</v>
      </c>
      <c r="F262" s="56">
        <v>254</v>
      </c>
      <c r="G262" s="57">
        <v>0</v>
      </c>
      <c r="H262" s="57">
        <v>176.03</v>
      </c>
      <c r="I262" s="57">
        <v>13</v>
      </c>
      <c r="J262" s="57">
        <v>171</v>
      </c>
      <c r="K262" s="56">
        <v>0</v>
      </c>
      <c r="L262" s="56">
        <v>645</v>
      </c>
      <c r="M262" s="98">
        <v>612</v>
      </c>
      <c r="N262" s="98">
        <v>1.8</v>
      </c>
      <c r="O262" s="98">
        <v>40</v>
      </c>
      <c r="P262" s="98">
        <v>1848</v>
      </c>
    </row>
    <row r="263" spans="1:16">
      <c r="A263" s="55" t="s">
        <v>573</v>
      </c>
      <c r="B263" s="55">
        <v>5501</v>
      </c>
      <c r="C263" s="56" t="s">
        <v>673</v>
      </c>
      <c r="D263" s="59">
        <v>3373.25</v>
      </c>
      <c r="E263" s="58">
        <v>276</v>
      </c>
      <c r="F263" s="56">
        <v>50</v>
      </c>
      <c r="G263" s="57">
        <v>0</v>
      </c>
      <c r="H263" s="57">
        <v>60.94</v>
      </c>
      <c r="I263" s="57">
        <v>27</v>
      </c>
      <c r="J263" s="57">
        <v>0</v>
      </c>
      <c r="K263" s="56">
        <v>0</v>
      </c>
      <c r="L263" s="56">
        <v>1035</v>
      </c>
      <c r="M263" s="98">
        <v>972</v>
      </c>
      <c r="N263" s="98">
        <v>2.2999999999999998</v>
      </c>
      <c r="O263" s="98">
        <v>36</v>
      </c>
      <c r="P263" s="98">
        <v>6047</v>
      </c>
    </row>
    <row r="264" spans="1:16">
      <c r="A264" s="55" t="s">
        <v>615</v>
      </c>
      <c r="B264" s="55">
        <v>5930</v>
      </c>
      <c r="C264" s="56" t="s">
        <v>673</v>
      </c>
      <c r="D264" s="59">
        <v>1262.8109999999999</v>
      </c>
      <c r="E264" s="58">
        <v>337</v>
      </c>
      <c r="F264" s="56">
        <v>47</v>
      </c>
      <c r="G264" s="57">
        <v>0</v>
      </c>
      <c r="H264" s="57">
        <v>106.04</v>
      </c>
      <c r="I264" s="57">
        <v>1</v>
      </c>
      <c r="J264" s="57">
        <v>20</v>
      </c>
      <c r="K264" s="56">
        <v>0</v>
      </c>
      <c r="L264" s="56">
        <v>215</v>
      </c>
      <c r="M264" s="98">
        <v>207</v>
      </c>
      <c r="N264" s="98">
        <v>0.9</v>
      </c>
      <c r="O264" s="98">
        <v>7</v>
      </c>
      <c r="P264" s="98">
        <v>384</v>
      </c>
    </row>
    <row r="265" spans="1:16">
      <c r="A265" s="55" t="s">
        <v>574</v>
      </c>
      <c r="B265" s="55">
        <v>5688</v>
      </c>
      <c r="C265" s="56" t="s">
        <v>673</v>
      </c>
      <c r="D265" s="59">
        <v>510.79399999999998</v>
      </c>
      <c r="E265" s="58">
        <v>136</v>
      </c>
      <c r="F265" s="56">
        <v>86</v>
      </c>
      <c r="G265" s="57">
        <v>0</v>
      </c>
      <c r="H265" s="57">
        <v>88.51</v>
      </c>
      <c r="I265" s="57">
        <v>0</v>
      </c>
      <c r="J265" s="57">
        <v>0</v>
      </c>
      <c r="K265" s="56">
        <v>0</v>
      </c>
      <c r="L265" s="56">
        <v>155</v>
      </c>
      <c r="M265" s="98">
        <v>149</v>
      </c>
      <c r="N265" s="98">
        <v>0</v>
      </c>
      <c r="O265" s="98">
        <v>11</v>
      </c>
      <c r="P265" s="98">
        <v>242</v>
      </c>
    </row>
    <row r="266" spans="1:16">
      <c r="A266" s="55" t="s">
        <v>575</v>
      </c>
      <c r="B266" s="55">
        <v>5729</v>
      </c>
      <c r="C266" s="56" t="s">
        <v>673</v>
      </c>
      <c r="D266" s="59">
        <v>7863.9610000000002</v>
      </c>
      <c r="E266" s="58">
        <v>79</v>
      </c>
      <c r="F266" s="56">
        <v>24</v>
      </c>
      <c r="G266" s="57">
        <v>0</v>
      </c>
      <c r="H266" s="57">
        <v>43.62</v>
      </c>
      <c r="I266" s="57">
        <v>17</v>
      </c>
      <c r="J266" s="57">
        <v>0</v>
      </c>
      <c r="K266" s="56">
        <v>0</v>
      </c>
      <c r="L266" s="56">
        <v>1600</v>
      </c>
      <c r="M266" s="98">
        <v>1530</v>
      </c>
      <c r="N266" s="98">
        <v>13.4</v>
      </c>
      <c r="O266" s="98">
        <v>58</v>
      </c>
      <c r="P266" s="98">
        <v>6470</v>
      </c>
    </row>
    <row r="267" spans="1:16">
      <c r="A267" s="55" t="s">
        <v>576</v>
      </c>
      <c r="B267" s="55">
        <v>5862</v>
      </c>
      <c r="C267" s="56" t="s">
        <v>673</v>
      </c>
      <c r="D267" s="59">
        <v>810.88599999999997</v>
      </c>
      <c r="E267" s="58">
        <v>57</v>
      </c>
      <c r="F267" s="56">
        <v>43</v>
      </c>
      <c r="G267" s="57">
        <v>0</v>
      </c>
      <c r="H267" s="57">
        <v>0</v>
      </c>
      <c r="I267" s="57">
        <v>0</v>
      </c>
      <c r="J267" s="57">
        <v>0</v>
      </c>
      <c r="K267" s="56">
        <v>0</v>
      </c>
      <c r="L267" s="56">
        <v>233</v>
      </c>
      <c r="M267" s="98">
        <v>225</v>
      </c>
      <c r="N267" s="98">
        <v>4</v>
      </c>
      <c r="O267" s="98">
        <v>33</v>
      </c>
      <c r="P267" s="98">
        <v>100</v>
      </c>
    </row>
    <row r="268" spans="1:16">
      <c r="A268" s="55" t="s">
        <v>614</v>
      </c>
      <c r="B268" s="55">
        <v>5571</v>
      </c>
      <c r="C268" s="56" t="s">
        <v>673</v>
      </c>
      <c r="D268" s="59">
        <v>3778.8069999999998</v>
      </c>
      <c r="E268" s="58">
        <v>589</v>
      </c>
      <c r="F268" s="56">
        <v>785</v>
      </c>
      <c r="G268" s="57">
        <v>986</v>
      </c>
      <c r="H268" s="57">
        <v>268.97000000000003</v>
      </c>
      <c r="I268" s="57">
        <v>7</v>
      </c>
      <c r="J268" s="57">
        <v>38</v>
      </c>
      <c r="K268" s="56">
        <v>6</v>
      </c>
      <c r="L268" s="56">
        <v>896</v>
      </c>
      <c r="M268" s="98">
        <v>843</v>
      </c>
      <c r="N268" s="98">
        <v>19.100000000000001</v>
      </c>
      <c r="O268" s="98">
        <v>45</v>
      </c>
      <c r="P268" s="98">
        <v>1194</v>
      </c>
    </row>
    <row r="269" spans="1:16">
      <c r="A269" s="55" t="s">
        <v>577</v>
      </c>
      <c r="B269" s="55">
        <v>5649</v>
      </c>
      <c r="C269" s="56" t="s">
        <v>676</v>
      </c>
      <c r="D269" s="59">
        <v>17261.978999999999</v>
      </c>
      <c r="E269" s="58">
        <v>45</v>
      </c>
      <c r="F269" s="56">
        <v>12</v>
      </c>
      <c r="G269" s="57">
        <v>0</v>
      </c>
      <c r="H269" s="57">
        <v>0</v>
      </c>
      <c r="I269" s="57">
        <v>0</v>
      </c>
      <c r="J269" s="57">
        <v>1</v>
      </c>
      <c r="K269" s="56">
        <v>2</v>
      </c>
      <c r="L269" s="56">
        <v>1907</v>
      </c>
      <c r="M269" s="98">
        <v>1800</v>
      </c>
      <c r="N269" s="98">
        <v>200.6</v>
      </c>
      <c r="O269" s="98">
        <v>1758</v>
      </c>
      <c r="P269" s="98">
        <v>2005</v>
      </c>
    </row>
    <row r="270" spans="1:16">
      <c r="A270" s="55" t="s">
        <v>613</v>
      </c>
      <c r="B270" s="55">
        <v>5730</v>
      </c>
      <c r="C270" s="56" t="s">
        <v>673</v>
      </c>
      <c r="D270" s="59">
        <v>6594.9780000000001</v>
      </c>
      <c r="E270" s="58">
        <v>292</v>
      </c>
      <c r="F270" s="56">
        <v>203</v>
      </c>
      <c r="G270" s="57">
        <v>4</v>
      </c>
      <c r="H270" s="57">
        <v>302.16000000000003</v>
      </c>
      <c r="I270" s="57">
        <v>10</v>
      </c>
      <c r="J270" s="57">
        <v>3</v>
      </c>
      <c r="K270" s="56">
        <v>7</v>
      </c>
      <c r="L270" s="56">
        <v>1434</v>
      </c>
      <c r="M270" s="98">
        <v>1389</v>
      </c>
      <c r="N270" s="98">
        <v>9.4</v>
      </c>
      <c r="O270" s="98">
        <v>81</v>
      </c>
      <c r="P270" s="98">
        <v>5474</v>
      </c>
    </row>
    <row r="271" spans="1:16">
      <c r="A271" s="55" t="s">
        <v>578</v>
      </c>
      <c r="B271" s="55">
        <v>5827</v>
      </c>
      <c r="C271" s="56" t="s">
        <v>673</v>
      </c>
      <c r="D271" s="59">
        <v>0</v>
      </c>
      <c r="E271" s="58">
        <v>269</v>
      </c>
      <c r="F271" s="56">
        <v>66</v>
      </c>
      <c r="G271" s="57">
        <v>2</v>
      </c>
      <c r="H271" s="57">
        <v>224.71</v>
      </c>
      <c r="I271" s="57">
        <v>23</v>
      </c>
      <c r="J271" s="57">
        <v>56</v>
      </c>
      <c r="K271" s="56">
        <v>9</v>
      </c>
      <c r="L271" s="56">
        <v>285</v>
      </c>
      <c r="M271" s="98">
        <v>279</v>
      </c>
      <c r="N271" s="98">
        <v>1</v>
      </c>
      <c r="O271" s="98">
        <v>32</v>
      </c>
      <c r="P271" s="98">
        <v>1157</v>
      </c>
    </row>
    <row r="272" spans="1:16">
      <c r="A272" s="55" t="s">
        <v>579</v>
      </c>
      <c r="B272" s="55">
        <v>5931</v>
      </c>
      <c r="C272" s="56" t="s">
        <v>673</v>
      </c>
      <c r="D272" s="59">
        <v>1822.9069999999999</v>
      </c>
      <c r="E272" s="58">
        <v>173</v>
      </c>
      <c r="F272" s="56">
        <v>5</v>
      </c>
      <c r="G272" s="57">
        <v>0</v>
      </c>
      <c r="H272" s="57">
        <v>0.2</v>
      </c>
      <c r="I272" s="57">
        <v>6</v>
      </c>
      <c r="J272" s="57">
        <v>12</v>
      </c>
      <c r="K272" s="56">
        <v>5</v>
      </c>
      <c r="L272" s="56">
        <v>492</v>
      </c>
      <c r="M272" s="98">
        <v>457</v>
      </c>
      <c r="N272" s="98">
        <v>4.2</v>
      </c>
      <c r="O272" s="98">
        <v>52</v>
      </c>
      <c r="P272" s="98">
        <v>3075</v>
      </c>
    </row>
    <row r="273" spans="1:16">
      <c r="A273" s="55" t="s">
        <v>580</v>
      </c>
      <c r="B273" s="55">
        <v>5828</v>
      </c>
      <c r="C273" s="56" t="s">
        <v>673</v>
      </c>
      <c r="D273" s="59">
        <v>430.529</v>
      </c>
      <c r="E273" s="58">
        <v>229</v>
      </c>
      <c r="F273" s="56">
        <v>65</v>
      </c>
      <c r="G273" s="57">
        <v>0</v>
      </c>
      <c r="H273" s="57">
        <v>148.81</v>
      </c>
      <c r="I273" s="57">
        <v>7</v>
      </c>
      <c r="J273" s="57">
        <v>115</v>
      </c>
      <c r="K273" s="56">
        <v>2</v>
      </c>
      <c r="L273" s="56">
        <v>111</v>
      </c>
      <c r="M273" s="98">
        <v>109</v>
      </c>
      <c r="N273" s="98">
        <v>0.9</v>
      </c>
      <c r="O273" s="98">
        <v>2</v>
      </c>
      <c r="P273" s="98">
        <v>267</v>
      </c>
    </row>
    <row r="274" spans="1:16">
      <c r="A274" s="55" t="s">
        <v>581</v>
      </c>
      <c r="B274" s="55">
        <v>5932</v>
      </c>
      <c r="C274" s="56" t="s">
        <v>673</v>
      </c>
      <c r="D274" s="59">
        <v>605.61099999999999</v>
      </c>
      <c r="E274" s="58">
        <v>257</v>
      </c>
      <c r="F274" s="56">
        <v>68</v>
      </c>
      <c r="G274" s="57">
        <v>0</v>
      </c>
      <c r="H274" s="57">
        <v>56.51</v>
      </c>
      <c r="I274" s="57">
        <v>6</v>
      </c>
      <c r="J274" s="57">
        <v>0</v>
      </c>
      <c r="K274" s="56">
        <v>0</v>
      </c>
      <c r="L274" s="56">
        <v>225</v>
      </c>
      <c r="M274" s="98">
        <v>211</v>
      </c>
      <c r="N274" s="98">
        <v>0</v>
      </c>
      <c r="O274" s="98">
        <v>6</v>
      </c>
      <c r="P274" s="98">
        <v>814</v>
      </c>
    </row>
    <row r="275" spans="1:16">
      <c r="A275" s="55" t="s">
        <v>582</v>
      </c>
      <c r="B275" s="55">
        <v>5831</v>
      </c>
      <c r="C275" s="56" t="s">
        <v>673</v>
      </c>
      <c r="D275" s="59">
        <v>20175.571</v>
      </c>
      <c r="E275" s="58">
        <v>2215</v>
      </c>
      <c r="F275" s="56">
        <v>850</v>
      </c>
      <c r="G275" s="57">
        <v>83</v>
      </c>
      <c r="H275" s="57">
        <v>1719.79</v>
      </c>
      <c r="I275" s="57">
        <v>207</v>
      </c>
      <c r="J275" s="57">
        <v>538</v>
      </c>
      <c r="K275" s="56">
        <v>14</v>
      </c>
      <c r="L275" s="56">
        <v>3296</v>
      </c>
      <c r="M275" s="98">
        <v>3087</v>
      </c>
      <c r="N275" s="98">
        <v>11.2</v>
      </c>
      <c r="O275" s="98">
        <v>672</v>
      </c>
      <c r="P275" s="98">
        <v>21016</v>
      </c>
    </row>
    <row r="276" spans="1:16">
      <c r="A276" s="55" t="s">
        <v>612</v>
      </c>
      <c r="B276" s="55">
        <v>5933</v>
      </c>
      <c r="C276" s="56" t="s">
        <v>673</v>
      </c>
      <c r="D276" s="59">
        <v>1946.2</v>
      </c>
      <c r="E276" s="58">
        <v>130</v>
      </c>
      <c r="F276" s="56">
        <v>51</v>
      </c>
      <c r="G276" s="57">
        <v>0</v>
      </c>
      <c r="H276" s="57">
        <v>75.599999999999994</v>
      </c>
      <c r="I276" s="57">
        <v>5</v>
      </c>
      <c r="J276" s="57">
        <v>7</v>
      </c>
      <c r="K276" s="56">
        <v>5</v>
      </c>
      <c r="L276" s="56">
        <v>709</v>
      </c>
      <c r="M276" s="98">
        <v>669</v>
      </c>
      <c r="N276" s="98">
        <v>2.6</v>
      </c>
      <c r="O276" s="98">
        <v>57</v>
      </c>
      <c r="P276" s="98">
        <v>2090</v>
      </c>
    </row>
    <row r="277" spans="1:16">
      <c r="A277" s="55" t="s">
        <v>611</v>
      </c>
      <c r="B277" s="55">
        <v>5763</v>
      </c>
      <c r="C277" s="56" t="s">
        <v>673</v>
      </c>
      <c r="D277" s="59">
        <v>2230.4070000000002</v>
      </c>
      <c r="E277" s="58">
        <v>517</v>
      </c>
      <c r="F277" s="56">
        <v>74</v>
      </c>
      <c r="G277" s="57">
        <v>451</v>
      </c>
      <c r="H277" s="57">
        <v>264.27</v>
      </c>
      <c r="I277" s="57">
        <v>18</v>
      </c>
      <c r="J277" s="57">
        <v>336</v>
      </c>
      <c r="K277" s="56">
        <v>0</v>
      </c>
      <c r="L277" s="56">
        <v>620</v>
      </c>
      <c r="M277" s="98">
        <v>588</v>
      </c>
      <c r="N277" s="98">
        <v>12.4</v>
      </c>
      <c r="O277" s="98">
        <v>75</v>
      </c>
      <c r="P277" s="98">
        <v>1489</v>
      </c>
    </row>
    <row r="278" spans="1:16">
      <c r="A278" s="55" t="s">
        <v>610</v>
      </c>
      <c r="B278" s="55">
        <v>5934</v>
      </c>
      <c r="C278" s="56" t="s">
        <v>673</v>
      </c>
      <c r="D278" s="59">
        <v>718.072</v>
      </c>
      <c r="E278" s="58">
        <v>219</v>
      </c>
      <c r="F278" s="56">
        <v>56</v>
      </c>
      <c r="G278" s="57">
        <v>278</v>
      </c>
      <c r="H278" s="57">
        <v>120.37</v>
      </c>
      <c r="I278" s="57">
        <v>19</v>
      </c>
      <c r="J278" s="57">
        <v>0</v>
      </c>
      <c r="K278" s="56">
        <v>0</v>
      </c>
      <c r="L278" s="56">
        <v>227</v>
      </c>
      <c r="M278" s="98">
        <v>220</v>
      </c>
      <c r="N278" s="98">
        <v>0</v>
      </c>
      <c r="O278" s="98">
        <v>2</v>
      </c>
      <c r="P278" s="98">
        <v>74</v>
      </c>
    </row>
    <row r="279" spans="1:16">
      <c r="A279" s="55" t="s">
        <v>583</v>
      </c>
      <c r="B279" s="55">
        <v>5764</v>
      </c>
      <c r="C279" s="56" t="s">
        <v>675</v>
      </c>
      <c r="D279" s="59">
        <v>0</v>
      </c>
      <c r="E279" s="58">
        <v>496</v>
      </c>
      <c r="F279" s="56">
        <v>1547</v>
      </c>
      <c r="G279" s="57">
        <v>3</v>
      </c>
      <c r="H279" s="57">
        <v>352.83</v>
      </c>
      <c r="I279" s="57">
        <v>12</v>
      </c>
      <c r="J279" s="57">
        <v>111</v>
      </c>
      <c r="K279" s="56">
        <v>45</v>
      </c>
      <c r="L279" s="56">
        <v>3857</v>
      </c>
      <c r="M279" s="98">
        <v>3645</v>
      </c>
      <c r="N279" s="98">
        <v>522.70000000000005</v>
      </c>
      <c r="O279" s="98">
        <v>304</v>
      </c>
      <c r="P279" s="98">
        <v>13843</v>
      </c>
    </row>
    <row r="280" spans="1:16">
      <c r="A280" s="55" t="s">
        <v>584</v>
      </c>
      <c r="B280" s="55">
        <v>5765</v>
      </c>
      <c r="C280" s="56" t="s">
        <v>673</v>
      </c>
      <c r="D280" s="59">
        <v>0</v>
      </c>
      <c r="E280" s="58">
        <v>625</v>
      </c>
      <c r="F280" s="56">
        <v>645</v>
      </c>
      <c r="G280" s="57">
        <v>1</v>
      </c>
      <c r="H280" s="57">
        <v>320.79000000000002</v>
      </c>
      <c r="I280" s="57">
        <v>13</v>
      </c>
      <c r="J280" s="57">
        <v>176</v>
      </c>
      <c r="K280" s="56">
        <v>3</v>
      </c>
      <c r="L280" s="56">
        <v>496</v>
      </c>
      <c r="M280" s="98">
        <v>465</v>
      </c>
      <c r="N280" s="98">
        <v>9.8000000000000007</v>
      </c>
      <c r="O280" s="98">
        <v>46</v>
      </c>
      <c r="P280" s="98">
        <v>1335</v>
      </c>
    </row>
    <row r="281" spans="1:16">
      <c r="A281" s="55" t="s">
        <v>609</v>
      </c>
      <c r="B281" s="55">
        <v>5650</v>
      </c>
      <c r="C281" s="56" t="s">
        <v>673</v>
      </c>
      <c r="D281" s="59">
        <v>714.79399999999998</v>
      </c>
      <c r="E281" s="58">
        <v>156</v>
      </c>
      <c r="F281" s="56">
        <v>30</v>
      </c>
      <c r="G281" s="57">
        <v>6</v>
      </c>
      <c r="H281" s="57">
        <v>179.75</v>
      </c>
      <c r="I281" s="57">
        <v>19</v>
      </c>
      <c r="J281" s="57">
        <v>13</v>
      </c>
      <c r="K281" s="56">
        <v>10</v>
      </c>
      <c r="L281" s="56">
        <v>196</v>
      </c>
      <c r="M281" s="98">
        <v>186</v>
      </c>
      <c r="N281" s="98">
        <v>0.9</v>
      </c>
      <c r="O281" s="98">
        <v>42</v>
      </c>
      <c r="P281" s="98">
        <v>146</v>
      </c>
    </row>
    <row r="282" spans="1:16">
      <c r="A282" s="55" t="s">
        <v>585</v>
      </c>
      <c r="B282" s="55">
        <v>5890</v>
      </c>
      <c r="C282" s="56" t="s">
        <v>674</v>
      </c>
      <c r="D282" s="59">
        <v>93805.828999999998</v>
      </c>
      <c r="E282" s="58">
        <v>7</v>
      </c>
      <c r="F282" s="56">
        <v>11</v>
      </c>
      <c r="G282" s="57">
        <v>0</v>
      </c>
      <c r="H282" s="57">
        <v>0</v>
      </c>
      <c r="I282" s="57">
        <v>0</v>
      </c>
      <c r="J282" s="57">
        <v>16</v>
      </c>
      <c r="K282" s="56">
        <v>0</v>
      </c>
      <c r="L282" s="56">
        <v>19871</v>
      </c>
      <c r="M282" s="98">
        <v>18729</v>
      </c>
      <c r="N282" s="98">
        <v>468.1</v>
      </c>
      <c r="O282" s="98">
        <v>8822</v>
      </c>
      <c r="P282" s="98">
        <v>92953</v>
      </c>
    </row>
    <row r="283" spans="1:16">
      <c r="A283" s="55" t="s">
        <v>586</v>
      </c>
      <c r="B283" s="55">
        <v>5891</v>
      </c>
      <c r="C283" s="56" t="s">
        <v>676</v>
      </c>
      <c r="D283" s="59">
        <v>3654.8</v>
      </c>
      <c r="E283" s="58">
        <v>98</v>
      </c>
      <c r="F283" s="56">
        <v>498</v>
      </c>
      <c r="G283" s="57">
        <v>0</v>
      </c>
      <c r="H283" s="57">
        <v>0</v>
      </c>
      <c r="I283" s="57">
        <v>0</v>
      </c>
      <c r="J283" s="57">
        <v>0</v>
      </c>
      <c r="K283" s="56">
        <v>0</v>
      </c>
      <c r="L283" s="56">
        <v>922</v>
      </c>
      <c r="M283" s="98">
        <v>876</v>
      </c>
      <c r="N283" s="98">
        <v>0.7</v>
      </c>
      <c r="O283" s="98">
        <v>146</v>
      </c>
      <c r="P283" s="98">
        <v>6083</v>
      </c>
    </row>
    <row r="284" spans="1:16">
      <c r="A284" s="55" t="s">
        <v>587</v>
      </c>
      <c r="B284" s="55">
        <v>5732</v>
      </c>
      <c r="C284" s="56" t="s">
        <v>673</v>
      </c>
      <c r="D284" s="59">
        <v>0</v>
      </c>
      <c r="E284" s="58">
        <v>60</v>
      </c>
      <c r="F284" s="56">
        <v>46</v>
      </c>
      <c r="G284" s="57">
        <v>0</v>
      </c>
      <c r="H284" s="57">
        <v>3.86</v>
      </c>
      <c r="I284" s="57">
        <v>2</v>
      </c>
      <c r="J284" s="57">
        <v>0</v>
      </c>
      <c r="K284" s="56">
        <v>0</v>
      </c>
      <c r="L284" s="56">
        <v>1083</v>
      </c>
      <c r="M284" s="98">
        <v>1017</v>
      </c>
      <c r="N284" s="98">
        <v>74</v>
      </c>
      <c r="O284" s="98">
        <v>318</v>
      </c>
      <c r="P284" s="98">
        <v>14171</v>
      </c>
    </row>
    <row r="285" spans="1:16">
      <c r="A285" s="55" t="s">
        <v>588</v>
      </c>
      <c r="B285" s="55">
        <v>5935</v>
      </c>
      <c r="C285" s="56" t="s">
        <v>673</v>
      </c>
      <c r="D285" s="59">
        <v>315.38900000000001</v>
      </c>
      <c r="E285" s="58">
        <v>65</v>
      </c>
      <c r="F285" s="56">
        <v>15</v>
      </c>
      <c r="G285" s="57">
        <v>0</v>
      </c>
      <c r="H285" s="57">
        <v>46.67</v>
      </c>
      <c r="I285" s="57">
        <v>2</v>
      </c>
      <c r="J285" s="57">
        <v>0</v>
      </c>
      <c r="K285" s="56">
        <v>0</v>
      </c>
      <c r="L285" s="56">
        <v>102</v>
      </c>
      <c r="M285" s="98">
        <v>98</v>
      </c>
      <c r="N285" s="98">
        <v>0</v>
      </c>
      <c r="O285" s="98">
        <v>14</v>
      </c>
      <c r="P285" s="98">
        <v>18</v>
      </c>
    </row>
    <row r="286" spans="1:16">
      <c r="A286" s="55" t="s">
        <v>608</v>
      </c>
      <c r="B286" s="55">
        <v>5690</v>
      </c>
      <c r="C286" s="56" t="s">
        <v>673</v>
      </c>
      <c r="D286" s="59">
        <v>474.25</v>
      </c>
      <c r="E286" s="58">
        <v>296</v>
      </c>
      <c r="F286" s="56">
        <v>105</v>
      </c>
      <c r="G286" s="57">
        <v>0</v>
      </c>
      <c r="H286" s="57">
        <v>82.28</v>
      </c>
      <c r="I286" s="57">
        <v>16</v>
      </c>
      <c r="J286" s="57">
        <v>0</v>
      </c>
      <c r="K286" s="56">
        <v>0</v>
      </c>
      <c r="L286" s="56">
        <v>122</v>
      </c>
      <c r="M286" s="98">
        <v>119</v>
      </c>
      <c r="N286" s="98">
        <v>0</v>
      </c>
      <c r="O286" s="98">
        <v>12</v>
      </c>
      <c r="P286" s="98">
        <v>416</v>
      </c>
    </row>
    <row r="287" spans="1:16">
      <c r="A287" s="55" t="s">
        <v>607</v>
      </c>
      <c r="B287" s="55">
        <v>5537</v>
      </c>
      <c r="C287" s="56" t="s">
        <v>673</v>
      </c>
      <c r="D287" s="59">
        <v>3279.3</v>
      </c>
      <c r="E287" s="58">
        <v>536</v>
      </c>
      <c r="F287" s="56">
        <v>104</v>
      </c>
      <c r="G287" s="57">
        <v>1433</v>
      </c>
      <c r="H287" s="57">
        <v>367.28</v>
      </c>
      <c r="I287" s="57">
        <v>37</v>
      </c>
      <c r="J287" s="57">
        <v>0</v>
      </c>
      <c r="K287" s="56">
        <v>11</v>
      </c>
      <c r="L287" s="56">
        <v>1228</v>
      </c>
      <c r="M287" s="98">
        <v>1133</v>
      </c>
      <c r="N287" s="98">
        <v>2.4</v>
      </c>
      <c r="O287" s="98">
        <v>40</v>
      </c>
      <c r="P287" s="98">
        <v>7889</v>
      </c>
    </row>
    <row r="288" spans="1:16">
      <c r="A288" s="55" t="s">
        <v>589</v>
      </c>
      <c r="B288" s="55">
        <v>5651</v>
      </c>
      <c r="C288" s="56" t="s">
        <v>673</v>
      </c>
      <c r="D288" s="59">
        <v>7355.0140000000001</v>
      </c>
      <c r="E288" s="58">
        <v>83</v>
      </c>
      <c r="F288" s="56">
        <v>15</v>
      </c>
      <c r="G288" s="57">
        <v>0</v>
      </c>
      <c r="H288" s="57">
        <v>42.22</v>
      </c>
      <c r="I288" s="57">
        <v>10</v>
      </c>
      <c r="J288" s="57">
        <v>0</v>
      </c>
      <c r="K288" s="56">
        <v>0</v>
      </c>
      <c r="L288" s="56">
        <v>973</v>
      </c>
      <c r="M288" s="98">
        <v>915</v>
      </c>
      <c r="N288" s="98">
        <v>78.3</v>
      </c>
      <c r="O288" s="98">
        <v>975</v>
      </c>
      <c r="P288" s="98">
        <v>596</v>
      </c>
    </row>
    <row r="289" spans="1:16">
      <c r="A289" s="55" t="s">
        <v>606</v>
      </c>
      <c r="B289" s="55">
        <v>5652</v>
      </c>
      <c r="C289" s="56" t="s">
        <v>673</v>
      </c>
      <c r="D289" s="59">
        <v>1673.0170000000001</v>
      </c>
      <c r="E289" s="58">
        <v>230</v>
      </c>
      <c r="F289" s="56">
        <v>53</v>
      </c>
      <c r="G289" s="57">
        <v>0</v>
      </c>
      <c r="H289" s="57">
        <v>131.47999999999999</v>
      </c>
      <c r="I289" s="57">
        <v>10</v>
      </c>
      <c r="J289" s="57">
        <v>3</v>
      </c>
      <c r="K289" s="56">
        <v>0</v>
      </c>
      <c r="L289" s="56">
        <v>603</v>
      </c>
      <c r="M289" s="98">
        <v>581</v>
      </c>
      <c r="N289" s="98">
        <v>4.8</v>
      </c>
      <c r="O289" s="98">
        <v>26</v>
      </c>
      <c r="P289" s="98">
        <v>1524</v>
      </c>
    </row>
    <row r="290" spans="1:16">
      <c r="A290" s="55" t="s">
        <v>590</v>
      </c>
      <c r="B290" s="55">
        <v>5830</v>
      </c>
      <c r="C290" s="56" t="s">
        <v>673</v>
      </c>
      <c r="D290" s="59">
        <v>1667.394</v>
      </c>
      <c r="E290" s="58">
        <v>537</v>
      </c>
      <c r="F290" s="56">
        <v>183</v>
      </c>
      <c r="G290" s="57">
        <v>39</v>
      </c>
      <c r="H290" s="57">
        <v>363.58</v>
      </c>
      <c r="I290" s="57">
        <v>33</v>
      </c>
      <c r="J290" s="57">
        <v>0</v>
      </c>
      <c r="K290" s="56">
        <v>10</v>
      </c>
      <c r="L290" s="56">
        <v>451</v>
      </c>
      <c r="M290" s="98">
        <v>418</v>
      </c>
      <c r="N290" s="98">
        <v>1.8</v>
      </c>
      <c r="O290" s="98">
        <v>46</v>
      </c>
      <c r="P290" s="98">
        <v>2843</v>
      </c>
    </row>
    <row r="291" spans="1:16">
      <c r="A291" s="55" t="s">
        <v>605</v>
      </c>
      <c r="B291" s="55">
        <v>5414</v>
      </c>
      <c r="C291" s="56" t="s">
        <v>675</v>
      </c>
      <c r="D291" s="59">
        <v>31132.186000000002</v>
      </c>
      <c r="E291" s="58">
        <v>828</v>
      </c>
      <c r="F291" s="56">
        <v>1768</v>
      </c>
      <c r="G291" s="57">
        <v>275</v>
      </c>
      <c r="H291" s="57">
        <v>12.22</v>
      </c>
      <c r="I291" s="57">
        <v>3</v>
      </c>
      <c r="J291" s="57">
        <v>20</v>
      </c>
      <c r="K291" s="56">
        <v>11</v>
      </c>
      <c r="L291" s="56">
        <v>5772</v>
      </c>
      <c r="M291" s="98">
        <v>5434</v>
      </c>
      <c r="N291" s="98">
        <v>393.9</v>
      </c>
      <c r="O291" s="98">
        <v>1788</v>
      </c>
      <c r="P291" s="98">
        <v>28873</v>
      </c>
    </row>
    <row r="292" spans="1:16">
      <c r="A292" s="55" t="s">
        <v>591</v>
      </c>
      <c r="B292" s="55">
        <v>5863</v>
      </c>
      <c r="C292" s="56" t="s">
        <v>673</v>
      </c>
      <c r="D292" s="59">
        <v>1088.721</v>
      </c>
      <c r="E292" s="58">
        <v>72</v>
      </c>
      <c r="F292" s="56">
        <v>20</v>
      </c>
      <c r="G292" s="57">
        <v>0</v>
      </c>
      <c r="H292" s="57">
        <v>0</v>
      </c>
      <c r="I292" s="57">
        <v>2</v>
      </c>
      <c r="J292" s="57">
        <v>0</v>
      </c>
      <c r="K292" s="56">
        <v>8</v>
      </c>
      <c r="L292" s="56">
        <v>355</v>
      </c>
      <c r="M292" s="98">
        <v>341</v>
      </c>
      <c r="N292" s="98">
        <v>13.4</v>
      </c>
      <c r="O292" s="98">
        <v>66</v>
      </c>
      <c r="P292" s="98">
        <v>4396</v>
      </c>
    </row>
    <row r="293" spans="1:16">
      <c r="A293" s="55" t="s">
        <v>592</v>
      </c>
      <c r="B293" s="55">
        <v>5539</v>
      </c>
      <c r="C293" s="56" t="s">
        <v>673</v>
      </c>
      <c r="D293" s="59">
        <v>2936.8789999999999</v>
      </c>
      <c r="E293" s="58">
        <v>624</v>
      </c>
      <c r="F293" s="56">
        <v>215</v>
      </c>
      <c r="G293" s="57">
        <v>100</v>
      </c>
      <c r="H293" s="57">
        <v>452.02</v>
      </c>
      <c r="I293" s="57">
        <v>89</v>
      </c>
      <c r="J293" s="57">
        <v>199</v>
      </c>
      <c r="K293" s="56">
        <v>2</v>
      </c>
      <c r="L293" s="56">
        <v>1054</v>
      </c>
      <c r="M293" s="98">
        <v>980</v>
      </c>
      <c r="N293" s="98">
        <v>6</v>
      </c>
      <c r="O293" s="98">
        <v>48.000000000000014</v>
      </c>
      <c r="P293" s="98">
        <v>4592</v>
      </c>
    </row>
    <row r="294" spans="1:16">
      <c r="A294" s="55" t="s">
        <v>593</v>
      </c>
      <c r="B294" s="55">
        <v>5692</v>
      </c>
      <c r="C294" s="56" t="s">
        <v>673</v>
      </c>
      <c r="D294" s="59">
        <v>2866.8829999999998</v>
      </c>
      <c r="E294" s="58">
        <v>206</v>
      </c>
      <c r="F294" s="56">
        <v>74</v>
      </c>
      <c r="G294" s="57">
        <v>0</v>
      </c>
      <c r="H294" s="57">
        <v>105.47</v>
      </c>
      <c r="I294" s="57">
        <v>29</v>
      </c>
      <c r="J294" s="57">
        <v>4</v>
      </c>
      <c r="K294" s="56">
        <v>18</v>
      </c>
      <c r="L294" s="56">
        <v>580</v>
      </c>
      <c r="M294" s="98">
        <v>549</v>
      </c>
      <c r="N294" s="98">
        <v>0.8</v>
      </c>
      <c r="O294" s="98">
        <v>107</v>
      </c>
      <c r="P294" s="98">
        <v>7472</v>
      </c>
    </row>
    <row r="295" spans="1:16">
      <c r="A295" s="55" t="s">
        <v>604</v>
      </c>
      <c r="B295" s="55">
        <v>5503</v>
      </c>
      <c r="C295" s="56" t="s">
        <v>673</v>
      </c>
      <c r="D295" s="59">
        <v>11212.117</v>
      </c>
      <c r="E295" s="58">
        <v>319</v>
      </c>
      <c r="F295" s="56">
        <v>130</v>
      </c>
      <c r="G295" s="57">
        <v>0</v>
      </c>
      <c r="H295" s="57">
        <v>153.77000000000001</v>
      </c>
      <c r="I295" s="57">
        <v>12</v>
      </c>
      <c r="J295" s="57">
        <v>9</v>
      </c>
      <c r="K295" s="56">
        <v>2</v>
      </c>
      <c r="L295" s="56">
        <v>1295</v>
      </c>
      <c r="M295" s="98">
        <v>1239</v>
      </c>
      <c r="N295" s="98">
        <v>26.6</v>
      </c>
      <c r="O295" s="98">
        <v>388</v>
      </c>
      <c r="P295" s="98">
        <v>23510</v>
      </c>
    </row>
    <row r="296" spans="1:16">
      <c r="A296" s="55" t="s">
        <v>603</v>
      </c>
      <c r="B296" s="55">
        <v>5653</v>
      </c>
      <c r="C296" s="56" t="s">
        <v>673</v>
      </c>
      <c r="D296" s="59">
        <v>3010.9609999999998</v>
      </c>
      <c r="E296" s="58">
        <v>147</v>
      </c>
      <c r="F296" s="56">
        <v>27</v>
      </c>
      <c r="G296" s="57">
        <v>0</v>
      </c>
      <c r="H296" s="57">
        <v>0</v>
      </c>
      <c r="I296" s="57">
        <v>0</v>
      </c>
      <c r="J296" s="57">
        <v>0</v>
      </c>
      <c r="K296" s="56">
        <v>0</v>
      </c>
      <c r="L296" s="56">
        <v>883</v>
      </c>
      <c r="M296" s="98">
        <v>838</v>
      </c>
      <c r="N296" s="98">
        <v>4.7</v>
      </c>
      <c r="O296" s="98">
        <v>45</v>
      </c>
      <c r="P296" s="98">
        <v>3203</v>
      </c>
    </row>
    <row r="297" spans="1:16">
      <c r="A297" s="55" t="s">
        <v>594</v>
      </c>
      <c r="B297" s="55">
        <v>5937</v>
      </c>
      <c r="C297" s="56" t="s">
        <v>673</v>
      </c>
      <c r="D297" s="59">
        <v>414.13900000000001</v>
      </c>
      <c r="E297" s="58">
        <v>96</v>
      </c>
      <c r="F297" s="56">
        <v>196</v>
      </c>
      <c r="G297" s="57">
        <v>38</v>
      </c>
      <c r="H297" s="57">
        <v>107.85</v>
      </c>
      <c r="I297" s="57">
        <v>29</v>
      </c>
      <c r="J297" s="57">
        <v>16</v>
      </c>
      <c r="K297" s="56">
        <v>0</v>
      </c>
      <c r="L297" s="56">
        <v>135</v>
      </c>
      <c r="M297" s="98">
        <v>130</v>
      </c>
      <c r="N297" s="98">
        <v>0</v>
      </c>
      <c r="O297" s="98">
        <v>4</v>
      </c>
      <c r="P297" s="98">
        <v>1056</v>
      </c>
    </row>
    <row r="298" spans="1:16">
      <c r="A298" s="55" t="s">
        <v>595</v>
      </c>
      <c r="B298" s="55">
        <v>5766</v>
      </c>
      <c r="C298" s="56" t="s">
        <v>673</v>
      </c>
      <c r="D298" s="59">
        <v>2156.9140000000002</v>
      </c>
      <c r="E298" s="58">
        <v>242</v>
      </c>
      <c r="F298" s="56">
        <v>222</v>
      </c>
      <c r="G298" s="57">
        <v>2305</v>
      </c>
      <c r="H298" s="57">
        <v>107.08</v>
      </c>
      <c r="I298" s="57">
        <v>9</v>
      </c>
      <c r="J298" s="57">
        <v>0</v>
      </c>
      <c r="K298" s="56">
        <v>2</v>
      </c>
      <c r="L298" s="56">
        <v>576</v>
      </c>
      <c r="M298" s="98">
        <v>547</v>
      </c>
      <c r="N298" s="98">
        <v>6.9</v>
      </c>
      <c r="O298" s="98">
        <v>102</v>
      </c>
      <c r="P298" s="98">
        <v>3933</v>
      </c>
    </row>
    <row r="299" spans="1:16">
      <c r="A299" s="55" t="s">
        <v>596</v>
      </c>
      <c r="B299" s="55">
        <v>5803</v>
      </c>
      <c r="C299" s="56" t="s">
        <v>673</v>
      </c>
      <c r="D299" s="59">
        <v>1791.35</v>
      </c>
      <c r="E299" s="58">
        <v>438</v>
      </c>
      <c r="F299" s="56">
        <v>180</v>
      </c>
      <c r="G299" s="57">
        <v>0</v>
      </c>
      <c r="H299" s="57">
        <v>309.25</v>
      </c>
      <c r="I299" s="57">
        <v>10</v>
      </c>
      <c r="J299" s="57">
        <v>16</v>
      </c>
      <c r="K299" s="56">
        <v>6</v>
      </c>
      <c r="L299" s="56">
        <v>614</v>
      </c>
      <c r="M299" s="98">
        <v>568</v>
      </c>
      <c r="N299" s="98">
        <v>1.5</v>
      </c>
      <c r="O299" s="98">
        <v>12</v>
      </c>
      <c r="P299" s="98">
        <v>4162</v>
      </c>
    </row>
    <row r="300" spans="1:16">
      <c r="A300" s="55" t="s">
        <v>597</v>
      </c>
      <c r="B300" s="55">
        <v>5654</v>
      </c>
      <c r="C300" s="56" t="s">
        <v>673</v>
      </c>
      <c r="D300" s="59">
        <v>1902.3140000000001</v>
      </c>
      <c r="E300" s="58">
        <v>571</v>
      </c>
      <c r="F300" s="56">
        <v>63</v>
      </c>
      <c r="G300" s="57">
        <v>287</v>
      </c>
      <c r="H300" s="57">
        <v>118.14</v>
      </c>
      <c r="I300" s="57">
        <v>2</v>
      </c>
      <c r="J300" s="57">
        <v>0</v>
      </c>
      <c r="K300" s="56">
        <v>4</v>
      </c>
      <c r="L300" s="56">
        <v>513</v>
      </c>
      <c r="M300" s="98">
        <v>482</v>
      </c>
      <c r="N300" s="98">
        <v>2.7</v>
      </c>
      <c r="O300" s="98">
        <v>70</v>
      </c>
      <c r="P300" s="98">
        <v>4081</v>
      </c>
    </row>
    <row r="301" spans="1:16">
      <c r="A301" s="55" t="s">
        <v>694</v>
      </c>
      <c r="B301" s="55">
        <v>5464</v>
      </c>
      <c r="C301" s="56" t="s">
        <v>673</v>
      </c>
      <c r="D301" s="59">
        <v>0</v>
      </c>
      <c r="E301" s="58">
        <v>1398</v>
      </c>
      <c r="F301" s="56">
        <v>357</v>
      </c>
      <c r="G301" s="57">
        <v>1022</v>
      </c>
      <c r="H301" s="57">
        <v>653.04</v>
      </c>
      <c r="I301" s="57">
        <v>42</v>
      </c>
      <c r="J301" s="57">
        <v>218</v>
      </c>
      <c r="K301" s="56">
        <v>21</v>
      </c>
      <c r="L301" s="56">
        <v>3278</v>
      </c>
      <c r="M301" s="98">
        <v>3068</v>
      </c>
      <c r="N301" s="98">
        <v>1.6</v>
      </c>
      <c r="O301" s="98">
        <v>242</v>
      </c>
      <c r="P301" s="98">
        <v>30190</v>
      </c>
    </row>
    <row r="302" spans="1:16">
      <c r="A302" s="55" t="s">
        <v>598</v>
      </c>
      <c r="B302" s="55">
        <v>5655</v>
      </c>
      <c r="C302" s="56" t="s">
        <v>673</v>
      </c>
      <c r="D302" s="59">
        <v>6505.9610000000002</v>
      </c>
      <c r="E302" s="58">
        <v>504</v>
      </c>
      <c r="F302" s="56">
        <v>371</v>
      </c>
      <c r="G302" s="57">
        <v>0</v>
      </c>
      <c r="H302" s="57">
        <v>309.13</v>
      </c>
      <c r="I302" s="57">
        <v>26</v>
      </c>
      <c r="J302" s="57">
        <v>12</v>
      </c>
      <c r="K302" s="56">
        <v>2</v>
      </c>
      <c r="L302" s="56">
        <v>1477</v>
      </c>
      <c r="M302" s="98">
        <v>1388</v>
      </c>
      <c r="N302" s="98">
        <v>52.2</v>
      </c>
      <c r="O302" s="98">
        <v>199</v>
      </c>
      <c r="P302" s="98">
        <v>8895</v>
      </c>
    </row>
    <row r="303" spans="1:16">
      <c r="A303" s="55" t="s">
        <v>602</v>
      </c>
      <c r="B303" s="55">
        <v>5938</v>
      </c>
      <c r="C303" s="56" t="s">
        <v>674</v>
      </c>
      <c r="D303" s="59">
        <v>130000</v>
      </c>
      <c r="E303" s="58">
        <v>483</v>
      </c>
      <c r="F303" s="56">
        <v>113</v>
      </c>
      <c r="G303" s="57">
        <v>2431</v>
      </c>
      <c r="H303" s="57">
        <v>149.13</v>
      </c>
      <c r="I303" s="57">
        <v>40</v>
      </c>
      <c r="J303" s="57">
        <v>99</v>
      </c>
      <c r="K303" s="56">
        <v>13</v>
      </c>
      <c r="L303" s="56">
        <v>30189</v>
      </c>
      <c r="M303" s="98">
        <v>28506</v>
      </c>
      <c r="N303" s="98">
        <v>1821.9</v>
      </c>
      <c r="O303" s="98">
        <v>9526</v>
      </c>
      <c r="P303" s="98">
        <v>116525</v>
      </c>
    </row>
    <row r="304" spans="1:16">
      <c r="A304" s="55" t="s">
        <v>599</v>
      </c>
      <c r="B304" s="55">
        <v>5939</v>
      </c>
      <c r="C304" s="56" t="s">
        <v>676</v>
      </c>
      <c r="D304" s="59">
        <v>12158.057000000001</v>
      </c>
      <c r="E304" s="58">
        <v>683</v>
      </c>
      <c r="F304" s="56">
        <v>424</v>
      </c>
      <c r="G304" s="57">
        <v>0</v>
      </c>
      <c r="H304" s="57">
        <v>214.67</v>
      </c>
      <c r="I304" s="57">
        <v>15</v>
      </c>
      <c r="J304" s="57">
        <v>8</v>
      </c>
      <c r="K304" s="56">
        <v>0</v>
      </c>
      <c r="L304" s="56">
        <v>3434</v>
      </c>
      <c r="M304" s="98">
        <v>3242</v>
      </c>
      <c r="N304" s="98">
        <v>40.700000000000003</v>
      </c>
      <c r="O304" s="98">
        <v>436</v>
      </c>
      <c r="P304" s="98">
        <v>6702</v>
      </c>
    </row>
    <row r="305" spans="1:16">
      <c r="A305" s="55" t="s">
        <v>600</v>
      </c>
      <c r="B305" s="55">
        <v>5415</v>
      </c>
      <c r="C305" s="56" t="s">
        <v>673</v>
      </c>
      <c r="D305" s="59">
        <v>7001.9430000000002</v>
      </c>
      <c r="E305" s="58">
        <v>576</v>
      </c>
      <c r="F305" s="56">
        <v>479</v>
      </c>
      <c r="G305" s="57">
        <v>0</v>
      </c>
      <c r="H305" s="57">
        <v>99.22</v>
      </c>
      <c r="I305" s="57">
        <v>31</v>
      </c>
      <c r="J305" s="57">
        <v>15</v>
      </c>
      <c r="K305" s="56">
        <v>2</v>
      </c>
      <c r="L305" s="56">
        <v>1071</v>
      </c>
      <c r="M305" s="98">
        <v>1006</v>
      </c>
      <c r="N305" s="98">
        <v>13</v>
      </c>
      <c r="O305" s="98">
        <v>258</v>
      </c>
      <c r="P305" s="98">
        <v>3619</v>
      </c>
    </row>
  </sheetData>
  <mergeCells count="5">
    <mergeCell ref="E1:F1"/>
    <mergeCell ref="G1:K1"/>
    <mergeCell ref="C2:C3"/>
    <mergeCell ref="B2:B3"/>
    <mergeCell ref="A2:A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065776-275D-8441-BCF9-7CB106CDD1DD}">
  <sheetPr codeName="Sheet2">
    <tabColor theme="7"/>
  </sheetPr>
  <dimension ref="A1:T33"/>
  <sheetViews>
    <sheetView topLeftCell="A7" zoomScale="143" zoomScaleNormal="100" workbookViewId="0">
      <selection activeCell="C14" sqref="C14"/>
    </sheetView>
  </sheetViews>
  <sheetFormatPr baseColWidth="10" defaultColWidth="0" defaultRowHeight="15.75" zeroHeight="1"/>
  <cols>
    <col min="1" max="1" width="7.5" style="2" customWidth="1"/>
    <col min="2" max="2" width="91" style="2" customWidth="1"/>
    <col min="3" max="3" width="24.125" style="2" customWidth="1"/>
    <col min="4" max="4" width="25.5" style="2" customWidth="1"/>
    <col min="5" max="5" width="4.875" style="2" customWidth="1"/>
    <col min="6" max="6" width="10.875" style="2" customWidth="1"/>
    <col min="7" max="9" width="0" style="2" hidden="1" customWidth="1"/>
    <col min="10" max="20" width="0" hidden="1" customWidth="1"/>
    <col min="21" max="16384" width="10.875" hidden="1"/>
  </cols>
  <sheetData>
    <row r="1" spans="1:6" s="1" customFormat="1" ht="42" customHeight="1">
      <c r="A1" s="21"/>
      <c r="B1" s="21" t="s">
        <v>17</v>
      </c>
      <c r="C1" s="21"/>
      <c r="D1" s="21"/>
      <c r="E1" s="21"/>
      <c r="F1" s="21"/>
    </row>
    <row r="2" spans="1:6" s="330" customFormat="1" ht="27" customHeight="1" thickBot="1"/>
    <row r="3" spans="1:6">
      <c r="B3" s="3" t="s">
        <v>16</v>
      </c>
      <c r="C3" s="4"/>
      <c r="D3" s="4"/>
      <c r="E3" s="5"/>
    </row>
    <row r="4" spans="1:6">
      <c r="B4" s="331" t="s">
        <v>15</v>
      </c>
      <c r="E4" s="12"/>
    </row>
    <row r="5" spans="1:6">
      <c r="B5" s="271"/>
      <c r="E5" s="12"/>
    </row>
    <row r="6" spans="1:6">
      <c r="B6" s="224" t="s">
        <v>14</v>
      </c>
      <c r="C6" s="343">
        <v>2019</v>
      </c>
      <c r="E6" s="12"/>
    </row>
    <row r="7" spans="1:6">
      <c r="B7" s="224"/>
      <c r="C7" s="332"/>
      <c r="E7" s="12"/>
    </row>
    <row r="8" spans="1:6">
      <c r="B8" s="224" t="s">
        <v>13</v>
      </c>
      <c r="C8" s="369" t="s">
        <v>244</v>
      </c>
      <c r="E8" s="12"/>
    </row>
    <row r="9" spans="1:6">
      <c r="B9" s="224" t="s">
        <v>339</v>
      </c>
      <c r="C9" s="371">
        <f>VLOOKUP(Commune,'Données communales'!$A:$C,2,FALSE)</f>
        <v>5731</v>
      </c>
      <c r="E9" s="12"/>
    </row>
    <row r="10" spans="1:6">
      <c r="B10" s="224" t="s">
        <v>875</v>
      </c>
      <c r="C10" s="370" t="str">
        <f>VLOOKUP(Commune,'Données communales'!$A:$C,3,FALSE)</f>
        <v>6 - Périurbain</v>
      </c>
      <c r="E10" s="12"/>
    </row>
    <row r="11" spans="1:6">
      <c r="B11" s="224"/>
      <c r="C11" s="334"/>
      <c r="E11" s="12"/>
    </row>
    <row r="12" spans="1:6">
      <c r="B12" s="224" t="s">
        <v>801</v>
      </c>
      <c r="C12" s="161">
        <f>IF(C14=0,VLOOKUP(Numéro_OFS,'Données communales'!$B:$X,11,FALSE),C14)</f>
        <v>1362</v>
      </c>
      <c r="D12" s="20" t="s">
        <v>601</v>
      </c>
      <c r="E12" s="12"/>
    </row>
    <row r="13" spans="1:6">
      <c r="B13" s="224"/>
      <c r="C13" s="140" t="s">
        <v>99</v>
      </c>
      <c r="D13" s="20"/>
      <c r="E13" s="12"/>
    </row>
    <row r="14" spans="1:6">
      <c r="B14" s="224" t="s">
        <v>874</v>
      </c>
      <c r="C14" s="342">
        <v>0</v>
      </c>
      <c r="D14" s="2" t="s">
        <v>702</v>
      </c>
      <c r="E14" s="12"/>
    </row>
    <row r="15" spans="1:6">
      <c r="B15" s="224"/>
      <c r="C15" s="333"/>
      <c r="E15" s="12"/>
    </row>
    <row r="16" spans="1:6" hidden="1">
      <c r="B16" s="224" t="s">
        <v>701</v>
      </c>
      <c r="C16" s="333">
        <f>VLOOKUP(Numéro_OFS,Données_Commune,12,FALSE)</f>
        <v>1295</v>
      </c>
      <c r="D16" s="2" t="s">
        <v>332</v>
      </c>
      <c r="E16" s="12"/>
    </row>
    <row r="17" spans="2:5" hidden="1">
      <c r="B17" s="224"/>
      <c r="C17" s="333"/>
      <c r="E17" s="12"/>
    </row>
    <row r="18" spans="2:5" hidden="1">
      <c r="B18" s="224" t="s">
        <v>12</v>
      </c>
      <c r="C18" s="333">
        <f>VLOOKUP(Numéro_OFS,Données_Commune,13,FALSE)</f>
        <v>16.8</v>
      </c>
      <c r="D18" s="2" t="s">
        <v>11</v>
      </c>
      <c r="E18" s="12"/>
    </row>
    <row r="19" spans="2:5" hidden="1">
      <c r="B19" s="224"/>
      <c r="C19" s="333"/>
      <c r="E19" s="12"/>
    </row>
    <row r="20" spans="2:5" hidden="1">
      <c r="B20" s="224" t="s">
        <v>18</v>
      </c>
      <c r="C20" s="333">
        <f>VLOOKUP(Numéro_OFS,Données_Commune,14,FALSE)</f>
        <v>76</v>
      </c>
      <c r="D20" s="2" t="s">
        <v>10</v>
      </c>
      <c r="E20" s="12"/>
    </row>
    <row r="21" spans="2:5" hidden="1">
      <c r="B21" s="224"/>
      <c r="C21" s="335"/>
      <c r="E21" s="12"/>
    </row>
    <row r="22" spans="2:5">
      <c r="B22" s="224" t="s">
        <v>859</v>
      </c>
      <c r="C22" s="24">
        <v>23</v>
      </c>
      <c r="D22" s="2" t="s">
        <v>9</v>
      </c>
      <c r="E22" s="12"/>
    </row>
    <row r="23" spans="2:5" ht="48.95" customHeight="1">
      <c r="B23" s="336" t="s">
        <v>860</v>
      </c>
      <c r="C23" s="334"/>
      <c r="E23" s="12"/>
    </row>
    <row r="24" spans="2:5">
      <c r="B24" s="224"/>
      <c r="C24" s="334"/>
      <c r="E24" s="12"/>
    </row>
    <row r="25" spans="2:5">
      <c r="B25" s="337" t="s">
        <v>330</v>
      </c>
      <c r="C25" s="338" t="s">
        <v>7</v>
      </c>
      <c r="D25" s="339"/>
      <c r="E25" s="12"/>
    </row>
    <row r="26" spans="2:5">
      <c r="B26" s="337"/>
      <c r="C26" s="340" t="s">
        <v>6</v>
      </c>
      <c r="D26" s="341"/>
      <c r="E26" s="12"/>
    </row>
    <row r="27" spans="2:5">
      <c r="B27" s="337"/>
      <c r="C27" s="340"/>
      <c r="D27" s="341"/>
      <c r="E27" s="12"/>
    </row>
    <row r="28" spans="2:5">
      <c r="B28" s="337"/>
      <c r="C28" s="340"/>
      <c r="D28" s="341"/>
      <c r="E28" s="12"/>
    </row>
    <row r="29" spans="2:5">
      <c r="B29" s="337" t="s">
        <v>8</v>
      </c>
      <c r="C29" s="340" t="s">
        <v>7</v>
      </c>
      <c r="D29" s="341"/>
      <c r="E29" s="12"/>
    </row>
    <row r="30" spans="2:5">
      <c r="B30" s="331"/>
      <c r="C30" s="340" t="s">
        <v>6</v>
      </c>
      <c r="D30" s="341"/>
      <c r="E30" s="12"/>
    </row>
    <row r="31" spans="2:5">
      <c r="B31" s="331"/>
      <c r="D31" s="341"/>
      <c r="E31" s="12"/>
    </row>
    <row r="32" spans="2:5" ht="16.5" thickBot="1">
      <c r="B32" s="17"/>
      <c r="C32" s="18"/>
      <c r="D32" s="18"/>
      <c r="E32" s="19"/>
    </row>
    <row r="33"/>
  </sheetData>
  <sheetProtection algorithmName="SHA-512" hashValue="rq0RW5NGTUFR6ChKohuojcmPTFNBkRsqW/cNTSGb5zgZweK9QCLMKONkrkYSDum1ioTxiwBi/TuGTIpbMADLWQ==" saltValue="9hTQ2V8iGVtYv/YTn4BwKg==" spinCount="100000" sheet="1" selectLockedCells="1"/>
  <dataValidations count="1">
    <dataValidation type="decimal" allowBlank="1" showInputMessage="1" showErrorMessage="1" errorTitle="Erreur!" error="La valeur entrée n'est pas valide" promptTitle="Employés communaux" prompt="Veuillez entrer le nombre d'employés communaux total en équivalent temps-plein. Valeurs décimales acceptées." sqref="C22" xr:uid="{642BAAA6-9295-3C4E-8632-A56574E24F0B}">
      <formula1>0</formula1>
      <formula2>C12</formula2>
    </dataValidation>
  </dataValidations>
  <hyperlinks>
    <hyperlink ref="C25" location="'Données Territoire'!A1" display="Saisie des données" xr:uid="{A10CDD8F-0820-CE44-9E56-9D35AF90497F}"/>
    <hyperlink ref="C29" location="'Données Administration'!A1" display="Saisie des données" xr:uid="{6F4FFC73-6126-6A49-B1C9-066CAA5AA124}"/>
    <hyperlink ref="C30" location="'Résultats Administration'!A1" display="Résultats et graphiques" xr:uid="{93198677-7574-F147-B781-9A6C99DC223A}"/>
    <hyperlink ref="C26" location="'Résultats Territoire'!A1" display="Résultats et graphiques" xr:uid="{14084832-5116-2349-92BD-7457A148FFD6}"/>
  </hyperlink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7696942E-8AB1-3245-B77F-273040A7610A}">
          <x14:formula1>
            <xm:f>'Données communales'!$A$4:$A$305</xm:f>
          </x14:formula1>
          <xm:sqref>C8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9217EE-DDDB-EF44-AE63-E048A48A65DA}">
  <sheetPr codeName="Sheet3">
    <tabColor theme="8"/>
  </sheetPr>
  <dimension ref="A1:AA140"/>
  <sheetViews>
    <sheetView topLeftCell="F1" zoomScaleNormal="60" workbookViewId="0">
      <pane ySplit="3" topLeftCell="A42" activePane="bottomLeft" state="frozen"/>
      <selection pane="bottomLeft" activeCell="E20" sqref="E20"/>
    </sheetView>
  </sheetViews>
  <sheetFormatPr baseColWidth="10" defaultColWidth="0" defaultRowHeight="15.75" zeroHeight="1"/>
  <cols>
    <col min="1" max="1" width="4.375" style="2" customWidth="1"/>
    <col min="2" max="2" width="7.125" style="2" customWidth="1"/>
    <col min="3" max="3" width="51.125" style="2" customWidth="1"/>
    <col min="4" max="4" width="32" style="2" customWidth="1"/>
    <col min="5" max="5" width="20.875" style="2" customWidth="1"/>
    <col min="6" max="6" width="38.125" style="2" customWidth="1"/>
    <col min="7" max="7" width="24.375" style="118" customWidth="1"/>
    <col min="8" max="8" width="12.125" style="118" customWidth="1"/>
    <col min="9" max="9" width="37.125" style="2" hidden="1" customWidth="1"/>
    <col min="10" max="10" width="50.875" style="2" hidden="1" customWidth="1"/>
    <col min="11" max="12" width="21.125" style="2" hidden="1" customWidth="1"/>
    <col min="13" max="13" width="19.5" style="2" hidden="1" customWidth="1"/>
    <col min="14" max="14" width="20.875" style="2" customWidth="1"/>
    <col min="15" max="15" width="42.375" style="2" customWidth="1"/>
    <col min="16" max="16" width="34.5" style="2" customWidth="1"/>
    <col min="17" max="17" width="6.125" style="2" customWidth="1"/>
    <col min="18" max="18" width="10.875" style="2" customWidth="1"/>
    <col min="19" max="27" width="0" style="2" hidden="1" customWidth="1"/>
    <col min="28" max="16384" width="10.875" style="2" hidden="1"/>
  </cols>
  <sheetData>
    <row r="1" spans="2:17" s="21" customFormat="1" ht="42" customHeight="1">
      <c r="B1" s="21" t="s">
        <v>252</v>
      </c>
      <c r="D1" s="21" t="str">
        <f>Commune</f>
        <v>Le Vaud</v>
      </c>
      <c r="G1" s="117"/>
      <c r="H1" s="117"/>
    </row>
    <row r="2" spans="2:17" ht="16.5" thickBot="1"/>
    <row r="3" spans="2:17" ht="32.25" thickBot="1">
      <c r="B3" s="424" t="s">
        <v>24</v>
      </c>
      <c r="C3" s="425"/>
      <c r="D3" s="425"/>
      <c r="E3" s="147" t="s">
        <v>48</v>
      </c>
      <c r="F3" s="147" t="s">
        <v>49</v>
      </c>
      <c r="G3" s="405" t="s">
        <v>891</v>
      </c>
      <c r="H3" s="405" t="s">
        <v>49</v>
      </c>
      <c r="I3" s="147" t="s">
        <v>50</v>
      </c>
      <c r="J3" s="147" t="s">
        <v>51</v>
      </c>
      <c r="K3" s="139" t="s">
        <v>266</v>
      </c>
      <c r="L3" s="139" t="s">
        <v>267</v>
      </c>
      <c r="M3" s="139" t="s">
        <v>268</v>
      </c>
      <c r="N3" s="147" t="s">
        <v>52</v>
      </c>
      <c r="O3" s="147" t="s">
        <v>53</v>
      </c>
      <c r="P3" s="147" t="s">
        <v>369</v>
      </c>
      <c r="Q3" s="25"/>
    </row>
    <row r="4" spans="2:17" ht="16.5" thickBot="1"/>
    <row r="5" spans="2:17">
      <c r="B5" s="281" t="s">
        <v>905</v>
      </c>
      <c r="C5" s="4"/>
      <c r="D5" s="4"/>
      <c r="E5" s="282"/>
      <c r="F5" s="4"/>
      <c r="G5" s="406"/>
      <c r="H5" s="406"/>
      <c r="I5" s="4"/>
      <c r="J5" s="4"/>
      <c r="K5" s="4"/>
      <c r="L5" s="4"/>
      <c r="M5" s="4"/>
      <c r="N5" s="4"/>
      <c r="O5" s="4"/>
      <c r="P5" s="4"/>
      <c r="Q5" s="5"/>
    </row>
    <row r="6" spans="2:17">
      <c r="B6" s="271"/>
      <c r="Q6" s="12"/>
    </row>
    <row r="7" spans="2:17">
      <c r="B7" s="283"/>
      <c r="C7" s="284" t="s">
        <v>38</v>
      </c>
      <c r="D7" s="285" t="s">
        <v>249</v>
      </c>
      <c r="E7" s="286">
        <f>SUM(E8:E15)</f>
        <v>10467.789127965896</v>
      </c>
      <c r="F7" s="284" t="s">
        <v>71</v>
      </c>
      <c r="G7" s="407">
        <f>SUM(G8:G15)</f>
        <v>10539.225388027806</v>
      </c>
      <c r="H7" s="408" t="s">
        <v>71</v>
      </c>
      <c r="I7" s="26"/>
      <c r="J7" s="26"/>
      <c r="K7" s="287">
        <f>SUM(K8:K15)</f>
        <v>2432945.615295602</v>
      </c>
      <c r="L7" s="287">
        <f>SUM(L8:L15)</f>
        <v>1519861.0558120713</v>
      </c>
      <c r="M7" s="287">
        <f>SUM(M8:M15)</f>
        <v>913088.42571467836</v>
      </c>
      <c r="N7" s="26"/>
      <c r="O7" s="26"/>
      <c r="P7" s="284" t="s">
        <v>872</v>
      </c>
      <c r="Q7" s="288"/>
    </row>
    <row r="8" spans="2:17">
      <c r="B8" s="271"/>
      <c r="C8" s="289" t="s">
        <v>70</v>
      </c>
      <c r="D8" s="290" t="s">
        <v>70</v>
      </c>
      <c r="E8" s="403">
        <f>G8</f>
        <v>5715.5409411764576</v>
      </c>
      <c r="F8" s="2" t="s">
        <v>71</v>
      </c>
      <c r="G8" s="129">
        <f>IFERROR(VLOOKUP(I8,Energie!$A:$E,5,FALSE)/1000,0)</f>
        <v>5715.5409411764576</v>
      </c>
      <c r="H8" s="118" t="s">
        <v>71</v>
      </c>
      <c r="I8" s="2" t="str">
        <f>_xlfn.CONCAT($D$1,D8,$D$7)</f>
        <v>Le VaudMazoutCHAUFF</v>
      </c>
      <c r="J8" s="289" t="str">
        <f>_xlfn.CONCAT(C8," - ",F8)</f>
        <v>Mazout - MWh</v>
      </c>
      <c r="K8" s="292">
        <f>IFERROR($E8*VLOOKUP($J8,EF_Table,3,FALSE),"Erreur")</f>
        <v>1757414.5285929374</v>
      </c>
      <c r="L8" s="292">
        <f t="shared" ref="L8:L15" si="0">IFERROR($E8*VLOOKUP($J8,EF_Table,4,FALSE),"Erreur")</f>
        <v>1517994.0595440478</v>
      </c>
      <c r="M8" s="292">
        <f t="shared" ref="M8:M15" si="1">IFERROR($E8*VLOOKUP($J8,EF_Table,5,FALSE),"Erreur")</f>
        <v>239424.33528003725</v>
      </c>
      <c r="N8" s="2" t="s">
        <v>55</v>
      </c>
      <c r="O8" s="414" t="s">
        <v>902</v>
      </c>
      <c r="P8" s="362"/>
      <c r="Q8" s="12"/>
    </row>
    <row r="9" spans="2:17">
      <c r="B9" s="271"/>
      <c r="C9" s="289" t="s">
        <v>65</v>
      </c>
      <c r="D9" s="290" t="s">
        <v>239</v>
      </c>
      <c r="E9" s="403">
        <v>0</v>
      </c>
      <c r="F9" s="2" t="s">
        <v>71</v>
      </c>
      <c r="G9" s="129">
        <f>IFERROR(VLOOKUP(I9,Energie!$A:$E,5,FALSE)/1000,0)</f>
        <v>71.436260061909991</v>
      </c>
      <c r="H9" s="118" t="s">
        <v>71</v>
      </c>
      <c r="I9" s="2" t="str">
        <f t="shared" ref="I9:I15" si="2">_xlfn.CONCAT($D$1,D9,$D$7)</f>
        <v>Le VaudGazCHAUFF</v>
      </c>
      <c r="J9" s="289" t="str">
        <f t="shared" ref="J9:J15" si="3">_xlfn.CONCAT(C9," - ",F9)</f>
        <v>Gaz naturel - MWh</v>
      </c>
      <c r="K9" s="292">
        <f t="shared" ref="K9:K15" si="4">IFERROR($E9*VLOOKUP($J9,EF_Table,3,FALSE),"Erreur")</f>
        <v>0</v>
      </c>
      <c r="L9" s="292">
        <f t="shared" si="0"/>
        <v>0</v>
      </c>
      <c r="M9" s="292">
        <f t="shared" si="1"/>
        <v>0</v>
      </c>
      <c r="N9" s="2" t="s">
        <v>55</v>
      </c>
      <c r="O9" s="414" t="s">
        <v>902</v>
      </c>
      <c r="Q9" s="12"/>
    </row>
    <row r="10" spans="2:17">
      <c r="B10" s="271"/>
      <c r="C10" s="289" t="s">
        <v>333</v>
      </c>
      <c r="D10" s="290" t="s">
        <v>66</v>
      </c>
      <c r="E10" s="403">
        <f t="shared" ref="E10:E15" si="5">G10</f>
        <v>910.50781176472003</v>
      </c>
      <c r="F10" s="2" t="s">
        <v>71</v>
      </c>
      <c r="G10" s="129">
        <f>IFERROR(VLOOKUP(I10,Energie!$A:$E,5,FALSE)/1000,0)</f>
        <v>910.50781176472003</v>
      </c>
      <c r="H10" s="118" t="s">
        <v>71</v>
      </c>
      <c r="I10" s="2" t="str">
        <f t="shared" si="2"/>
        <v>Le VaudBoisCHAUFF</v>
      </c>
      <c r="J10" s="289" t="str">
        <f t="shared" si="3"/>
        <v>Bois (bûches, copeaux, pellets) - MWh</v>
      </c>
      <c r="K10" s="292">
        <f t="shared" si="4"/>
        <v>37339.92536047117</v>
      </c>
      <c r="L10" s="292">
        <f t="shared" si="0"/>
        <v>1866.9962680235581</v>
      </c>
      <c r="M10" s="292">
        <f t="shared" si="1"/>
        <v>35472.929092447615</v>
      </c>
      <c r="N10" s="2" t="s">
        <v>55</v>
      </c>
      <c r="O10" s="414" t="s">
        <v>902</v>
      </c>
      <c r="Q10" s="12"/>
    </row>
    <row r="11" spans="2:17">
      <c r="B11" s="271"/>
      <c r="C11" s="289" t="s">
        <v>68</v>
      </c>
      <c r="D11" s="290" t="s">
        <v>240</v>
      </c>
      <c r="E11" s="403">
        <f t="shared" si="5"/>
        <v>27.263999999999999</v>
      </c>
      <c r="F11" s="2" t="s">
        <v>71</v>
      </c>
      <c r="G11" s="129">
        <f>IFERROR(VLOOKUP(I11,Energie!$A:$E,5,FALSE)/1000,0)</f>
        <v>27.263999999999999</v>
      </c>
      <c r="H11" s="118" t="s">
        <v>71</v>
      </c>
      <c r="I11" s="2" t="str">
        <f t="shared" si="2"/>
        <v>Le VaudSolaireCHAUFF</v>
      </c>
      <c r="J11" s="289" t="str">
        <f t="shared" si="3"/>
        <v>Solaire thermique - MWh</v>
      </c>
      <c r="K11" s="292">
        <f t="shared" si="4"/>
        <v>315.17183999999997</v>
      </c>
      <c r="L11" s="292">
        <f t="shared" si="0"/>
        <v>0</v>
      </c>
      <c r="M11" s="292">
        <f t="shared" si="1"/>
        <v>315.17183999999997</v>
      </c>
      <c r="N11" s="2" t="s">
        <v>55</v>
      </c>
      <c r="O11" s="414" t="s">
        <v>902</v>
      </c>
      <c r="Q11" s="12"/>
    </row>
    <row r="12" spans="2:17">
      <c r="B12" s="271"/>
      <c r="C12" s="289" t="s">
        <v>254</v>
      </c>
      <c r="D12" s="290" t="s">
        <v>69</v>
      </c>
      <c r="E12" s="403">
        <f t="shared" si="5"/>
        <v>431.49961373437003</v>
      </c>
      <c r="F12" s="2" t="s">
        <v>71</v>
      </c>
      <c r="G12" s="129">
        <f>IFERROR(VLOOKUP(I12,Energie!$A:$E,5,FALSE)/1000,0)</f>
        <v>431.49961373437003</v>
      </c>
      <c r="H12" s="118" t="s">
        <v>71</v>
      </c>
      <c r="I12" s="2" t="str">
        <f t="shared" si="2"/>
        <v>Le VaudPACCHAUFF</v>
      </c>
      <c r="J12" s="289" t="str">
        <f t="shared" si="3"/>
        <v>Pompe à chaleur - MWh</v>
      </c>
      <c r="K12" s="292">
        <f t="shared" si="4"/>
        <v>26033.810028640328</v>
      </c>
      <c r="L12" s="292">
        <f t="shared" si="0"/>
        <v>0</v>
      </c>
      <c r="M12" s="292">
        <f t="shared" si="1"/>
        <v>26033.810028640328</v>
      </c>
      <c r="N12" s="2" t="s">
        <v>55</v>
      </c>
      <c r="O12" s="414" t="s">
        <v>902</v>
      </c>
      <c r="Q12" s="12"/>
    </row>
    <row r="13" spans="2:17">
      <c r="B13" s="271"/>
      <c r="C13" s="289" t="s">
        <v>67</v>
      </c>
      <c r="D13" s="290" t="s">
        <v>242</v>
      </c>
      <c r="E13" s="403">
        <f t="shared" si="5"/>
        <v>30.357600000000001</v>
      </c>
      <c r="F13" s="2" t="s">
        <v>71</v>
      </c>
      <c r="G13" s="129">
        <f>IFERROR(VLOOKUP(I13,Energie!$A:$E,5,FALSE)/1000,0)</f>
        <v>30.357600000000001</v>
      </c>
      <c r="H13" s="118" t="s">
        <v>71</v>
      </c>
      <c r="I13" s="2" t="str">
        <f t="shared" si="2"/>
        <v>Le VaudCADCHAUFF</v>
      </c>
      <c r="J13" s="289" t="str">
        <f t="shared" si="3"/>
        <v>Chauffage à distance - MWh</v>
      </c>
      <c r="K13" s="292">
        <f t="shared" si="4"/>
        <v>5018.1112800000001</v>
      </c>
      <c r="L13" s="292">
        <f t="shared" si="0"/>
        <v>0</v>
      </c>
      <c r="M13" s="292">
        <f t="shared" si="1"/>
        <v>5018.1112800000001</v>
      </c>
      <c r="N13" s="2" t="s">
        <v>55</v>
      </c>
      <c r="O13" s="416" t="s">
        <v>902</v>
      </c>
      <c r="Q13" s="12"/>
    </row>
    <row r="14" spans="2:17">
      <c r="B14" s="271"/>
      <c r="C14" s="289" t="s">
        <v>698</v>
      </c>
      <c r="D14" s="290" t="s">
        <v>97</v>
      </c>
      <c r="E14" s="403">
        <f t="shared" si="5"/>
        <v>3352.6191612903485</v>
      </c>
      <c r="F14" s="2" t="s">
        <v>71</v>
      </c>
      <c r="G14" s="129">
        <f>IFERROR(VLOOKUP(I14,Energie!$A:$E,5,FALSE)/1000,0)</f>
        <v>3352.6191612903485</v>
      </c>
      <c r="H14" s="118" t="s">
        <v>71</v>
      </c>
      <c r="I14" s="2" t="str">
        <f t="shared" si="2"/>
        <v>Le VaudElectricitéCHAUFF</v>
      </c>
      <c r="J14" s="289" t="s">
        <v>299</v>
      </c>
      <c r="K14" s="292">
        <f t="shared" si="4"/>
        <v>606824.06819355313</v>
      </c>
      <c r="L14" s="292">
        <f t="shared" si="0"/>
        <v>0</v>
      </c>
      <c r="M14" s="292">
        <f t="shared" si="1"/>
        <v>606824.06819355313</v>
      </c>
      <c r="N14" s="2" t="s">
        <v>55</v>
      </c>
      <c r="O14" s="416" t="s">
        <v>902</v>
      </c>
      <c r="Q14" s="12"/>
    </row>
    <row r="15" spans="2:17">
      <c r="B15" s="271"/>
      <c r="C15" t="s">
        <v>337</v>
      </c>
      <c r="D15" s="290" t="s">
        <v>245</v>
      </c>
      <c r="E15" s="403">
        <f t="shared" si="5"/>
        <v>0</v>
      </c>
      <c r="F15" s="2" t="s">
        <v>71</v>
      </c>
      <c r="G15" s="129">
        <f>IFERROR(VLOOKUP(I15,Energie!$A:$E,5,FALSE)/1000,0)</f>
        <v>0</v>
      </c>
      <c r="H15" s="118" t="s">
        <v>71</v>
      </c>
      <c r="I15" s="2" t="str">
        <f t="shared" si="2"/>
        <v>Le VaudAutre agent énergétiqueCHAUFF</v>
      </c>
      <c r="J15" s="289" t="str">
        <f t="shared" si="3"/>
        <v>Autres agents énergétiques (non renseignés) - MWh</v>
      </c>
      <c r="K15" s="292">
        <f t="shared" si="4"/>
        <v>0</v>
      </c>
      <c r="L15" s="292">
        <f t="shared" si="0"/>
        <v>0</v>
      </c>
      <c r="M15" s="292">
        <f t="shared" si="1"/>
        <v>0</v>
      </c>
      <c r="N15" s="2" t="s">
        <v>55</v>
      </c>
      <c r="O15" s="416" t="s">
        <v>902</v>
      </c>
      <c r="Q15" s="12"/>
    </row>
    <row r="16" spans="2:17">
      <c r="B16" s="271"/>
      <c r="E16" s="294"/>
      <c r="Q16" s="12"/>
    </row>
    <row r="17" spans="2:17">
      <c r="B17" s="283"/>
      <c r="C17" s="284" t="s">
        <v>253</v>
      </c>
      <c r="D17" s="285" t="s">
        <v>37</v>
      </c>
      <c r="E17" s="286">
        <f>SUM(E18:E25)</f>
        <v>1481.6971318658702</v>
      </c>
      <c r="F17" s="284" t="s">
        <v>71</v>
      </c>
      <c r="G17" s="407">
        <f>SUM(G18:G25)</f>
        <v>1497.6395154975801</v>
      </c>
      <c r="H17" s="408" t="s">
        <v>71</v>
      </c>
      <c r="I17" s="26"/>
      <c r="J17" s="26"/>
      <c r="K17" s="287">
        <f>SUM(K18:K25)</f>
        <v>309391.14180429321</v>
      </c>
      <c r="L17" s="287">
        <f>SUM(L18:L25)</f>
        <v>173386.87179133759</v>
      </c>
      <c r="M17" s="287">
        <f>SUM(M18:M25)</f>
        <v>136004.70773386775</v>
      </c>
      <c r="N17" s="26"/>
      <c r="O17" s="26"/>
      <c r="P17" s="284" t="s">
        <v>872</v>
      </c>
      <c r="Q17" s="288"/>
    </row>
    <row r="18" spans="2:17">
      <c r="B18" s="271"/>
      <c r="C18" s="289" t="s">
        <v>70</v>
      </c>
      <c r="D18" s="290" t="s">
        <v>70</v>
      </c>
      <c r="E18" s="403">
        <f>G18</f>
        <v>647.0931764705997</v>
      </c>
      <c r="F18" s="2" t="s">
        <v>71</v>
      </c>
      <c r="G18" s="129">
        <f>IFERROR(VLOOKUP(I18,Energie!$A:$E,5,FALSE)/1000,0)</f>
        <v>647.0931764705997</v>
      </c>
      <c r="H18" s="118" t="s">
        <v>71</v>
      </c>
      <c r="I18" s="2" t="str">
        <f t="shared" ref="I18:I25" si="6">_xlfn.CONCAT($D$1,D18,$D$17)</f>
        <v>Le VaudMazoutECS</v>
      </c>
      <c r="J18" s="289" t="str">
        <f>_xlfn.CONCAT(C18," - ",F18)</f>
        <v>Mazout - MWh</v>
      </c>
      <c r="K18" s="292">
        <f t="shared" ref="K18:K25" si="7">IFERROR($E18*VLOOKUP($J18,EF_Table,3,FALSE),"Erreur")</f>
        <v>198968.20990118</v>
      </c>
      <c r="L18" s="292">
        <f t="shared" ref="L18:L25" si="8">IFERROR($E18*VLOOKUP($J18,EF_Table,4,FALSE),"Erreur")</f>
        <v>171861.87763562243</v>
      </c>
      <c r="M18" s="292">
        <f t="shared" ref="M18:M25" si="9">IFERROR($E18*VLOOKUP($J18,EF_Table,5,FALSE),"Erreur")</f>
        <v>27106.769986469768</v>
      </c>
      <c r="N18" s="2" t="s">
        <v>55</v>
      </c>
      <c r="O18" s="416" t="s">
        <v>902</v>
      </c>
      <c r="Q18" s="12"/>
    </row>
    <row r="19" spans="2:17">
      <c r="B19" s="271"/>
      <c r="C19" s="289" t="s">
        <v>65</v>
      </c>
      <c r="D19" s="290" t="s">
        <v>239</v>
      </c>
      <c r="E19" s="403">
        <v>0</v>
      </c>
      <c r="F19" s="2" t="s">
        <v>71</v>
      </c>
      <c r="G19" s="129">
        <f>IFERROR(VLOOKUP(I19,Energie!$A:$E,5,FALSE)/1000,0)</f>
        <v>15.942383631709999</v>
      </c>
      <c r="H19" s="118" t="s">
        <v>71</v>
      </c>
      <c r="I19" s="2" t="str">
        <f t="shared" si="6"/>
        <v>Le VaudGazECS</v>
      </c>
      <c r="J19" s="289" t="str">
        <f t="shared" ref="J19:J25" si="10">_xlfn.CONCAT(C19," - ",F19)</f>
        <v>Gaz naturel - MWh</v>
      </c>
      <c r="K19" s="292">
        <f t="shared" si="7"/>
        <v>0</v>
      </c>
      <c r="L19" s="292">
        <f t="shared" si="8"/>
        <v>0</v>
      </c>
      <c r="M19" s="292">
        <f t="shared" si="9"/>
        <v>0</v>
      </c>
      <c r="N19" s="2" t="s">
        <v>55</v>
      </c>
      <c r="O19" s="416" t="s">
        <v>902</v>
      </c>
      <c r="Q19" s="12"/>
    </row>
    <row r="20" spans="2:17">
      <c r="B20" s="271"/>
      <c r="C20" s="289" t="s">
        <v>333</v>
      </c>
      <c r="D20" s="290" t="s">
        <v>66</v>
      </c>
      <c r="E20" s="403">
        <f t="shared" ref="E20:E25" si="11">G20</f>
        <v>119.11300392157</v>
      </c>
      <c r="F20" s="2" t="s">
        <v>71</v>
      </c>
      <c r="G20" s="129">
        <f>IFERROR(VLOOKUP(I20,Energie!$A:$E,5,FALSE)/1000,0)</f>
        <v>119.11300392157</v>
      </c>
      <c r="H20" s="118" t="s">
        <v>71</v>
      </c>
      <c r="I20" s="2" t="str">
        <f t="shared" si="6"/>
        <v>Le VaudBoisECS</v>
      </c>
      <c r="J20" s="289" t="str">
        <f t="shared" si="10"/>
        <v>Bois (bûches, copeaux, pellets) - MWh</v>
      </c>
      <c r="K20" s="292">
        <f t="shared" si="7"/>
        <v>4884.8242908235861</v>
      </c>
      <c r="L20" s="292">
        <f t="shared" si="8"/>
        <v>244.24121454117923</v>
      </c>
      <c r="M20" s="292">
        <f t="shared" si="9"/>
        <v>4640.5830762824071</v>
      </c>
      <c r="N20" s="2" t="s">
        <v>55</v>
      </c>
      <c r="O20" s="416" t="s">
        <v>902</v>
      </c>
      <c r="Q20" s="12"/>
    </row>
    <row r="21" spans="2:17">
      <c r="B21" s="271"/>
      <c r="C21" s="289" t="s">
        <v>68</v>
      </c>
      <c r="D21" s="290" t="s">
        <v>240</v>
      </c>
      <c r="E21" s="403">
        <f t="shared" si="11"/>
        <v>123.59200000000001</v>
      </c>
      <c r="F21" s="2" t="s">
        <v>71</v>
      </c>
      <c r="G21" s="129">
        <f>IFERROR(VLOOKUP(I21,Energie!$A:$E,5,FALSE)/1000,0)</f>
        <v>123.59200000000001</v>
      </c>
      <c r="H21" s="118" t="s">
        <v>71</v>
      </c>
      <c r="I21" s="2" t="str">
        <f t="shared" si="6"/>
        <v>Le VaudSolaireECS</v>
      </c>
      <c r="J21" s="289" t="str">
        <f t="shared" si="10"/>
        <v>Solaire thermique - MWh</v>
      </c>
      <c r="K21" s="292">
        <f t="shared" si="7"/>
        <v>1428.72352</v>
      </c>
      <c r="L21" s="292">
        <f t="shared" si="8"/>
        <v>0</v>
      </c>
      <c r="M21" s="292">
        <f t="shared" si="9"/>
        <v>1428.72352</v>
      </c>
      <c r="N21" s="2" t="s">
        <v>55</v>
      </c>
      <c r="O21" s="416" t="s">
        <v>902</v>
      </c>
      <c r="Q21" s="12"/>
    </row>
    <row r="22" spans="2:17">
      <c r="B22" s="271"/>
      <c r="C22" s="289" t="s">
        <v>254</v>
      </c>
      <c r="D22" s="290" t="s">
        <v>69</v>
      </c>
      <c r="E22" s="403">
        <f t="shared" si="11"/>
        <v>29.273686114219988</v>
      </c>
      <c r="F22" s="2" t="s">
        <v>71</v>
      </c>
      <c r="G22" s="129">
        <f>IFERROR(VLOOKUP(I22,Energie!$A:$E,5,FALSE)/1000,0)</f>
        <v>29.273686114219988</v>
      </c>
      <c r="H22" s="118" t="s">
        <v>71</v>
      </c>
      <c r="I22" s="2" t="str">
        <f t="shared" si="6"/>
        <v>Le VaudPACECS</v>
      </c>
      <c r="J22" s="289" t="str">
        <f t="shared" si="10"/>
        <v>Pompe à chaleur - MWh</v>
      </c>
      <c r="K22" s="292">
        <f t="shared" si="7"/>
        <v>1766.179062224606</v>
      </c>
      <c r="L22" s="292">
        <f t="shared" si="8"/>
        <v>0</v>
      </c>
      <c r="M22" s="292">
        <f t="shared" si="9"/>
        <v>1766.179062224606</v>
      </c>
      <c r="N22" s="2" t="s">
        <v>55</v>
      </c>
      <c r="O22" s="416" t="s">
        <v>902</v>
      </c>
      <c r="Q22" s="12"/>
    </row>
    <row r="23" spans="2:17">
      <c r="B23" s="271"/>
      <c r="C23" s="289" t="s">
        <v>67</v>
      </c>
      <c r="D23" s="290" t="s">
        <v>242</v>
      </c>
      <c r="E23" s="403">
        <f t="shared" si="11"/>
        <v>0</v>
      </c>
      <c r="F23" s="2" t="s">
        <v>71</v>
      </c>
      <c r="G23" s="129">
        <f>IFERROR(VLOOKUP(I23,Energie!$A:$E,5,FALSE)/1000,0)</f>
        <v>0</v>
      </c>
      <c r="H23" s="118" t="s">
        <v>71</v>
      </c>
      <c r="I23" s="2" t="str">
        <f t="shared" si="6"/>
        <v>Le VaudCADECS</v>
      </c>
      <c r="J23" s="289" t="str">
        <f t="shared" si="10"/>
        <v>Chauffage à distance - MWh</v>
      </c>
      <c r="K23" s="292">
        <f t="shared" si="7"/>
        <v>0</v>
      </c>
      <c r="L23" s="292">
        <f t="shared" si="8"/>
        <v>0</v>
      </c>
      <c r="M23" s="292">
        <f t="shared" si="9"/>
        <v>0</v>
      </c>
      <c r="N23" s="2" t="s">
        <v>55</v>
      </c>
      <c r="O23" s="416" t="s">
        <v>902</v>
      </c>
      <c r="Q23" s="12"/>
    </row>
    <row r="24" spans="2:17">
      <c r="B24" s="271"/>
      <c r="C24" s="289" t="s">
        <v>698</v>
      </c>
      <c r="D24" s="290" t="s">
        <v>97</v>
      </c>
      <c r="E24" s="403">
        <f t="shared" si="11"/>
        <v>558.35608888890033</v>
      </c>
      <c r="F24" s="2" t="s">
        <v>71</v>
      </c>
      <c r="G24" s="129">
        <f>IFERROR(VLOOKUP(I24,Energie!$A:$E,5,FALSE)/1000,0)</f>
        <v>558.35608888890033</v>
      </c>
      <c r="H24" s="118" t="s">
        <v>71</v>
      </c>
      <c r="I24" s="2" t="str">
        <f t="shared" si="6"/>
        <v>Le VaudElectricitéECS</v>
      </c>
      <c r="J24" s="289" t="s">
        <v>299</v>
      </c>
      <c r="K24" s="292">
        <f t="shared" si="7"/>
        <v>101062.45208889096</v>
      </c>
      <c r="L24" s="292">
        <f t="shared" si="8"/>
        <v>0</v>
      </c>
      <c r="M24" s="292">
        <f t="shared" si="9"/>
        <v>101062.45208889096</v>
      </c>
      <c r="N24" s="2" t="s">
        <v>55</v>
      </c>
      <c r="O24" s="416" t="s">
        <v>902</v>
      </c>
      <c r="Q24" s="12"/>
    </row>
    <row r="25" spans="2:17">
      <c r="B25" s="271"/>
      <c r="C25" t="s">
        <v>337</v>
      </c>
      <c r="D25" s="290" t="s">
        <v>245</v>
      </c>
      <c r="E25" s="403">
        <f t="shared" si="11"/>
        <v>4.2691764705799997</v>
      </c>
      <c r="F25" s="2" t="s">
        <v>71</v>
      </c>
      <c r="G25" s="129">
        <f>IFERROR(VLOOKUP(I25,Energie!$A:$E,5,FALSE)/1000,0)</f>
        <v>4.2691764705799997</v>
      </c>
      <c r="H25" s="118" t="s">
        <v>71</v>
      </c>
      <c r="I25" s="2" t="str">
        <f t="shared" si="6"/>
        <v>Le VaudAutre agent énergétiqueECS</v>
      </c>
      <c r="J25" s="289" t="str">
        <f t="shared" si="10"/>
        <v>Autres agents énergétiques (non renseignés) - MWh</v>
      </c>
      <c r="K25" s="292">
        <f t="shared" si="7"/>
        <v>1280.7529411739999</v>
      </c>
      <c r="L25" s="292">
        <f t="shared" si="8"/>
        <v>1280.7529411739999</v>
      </c>
      <c r="M25" s="292">
        <f t="shared" si="9"/>
        <v>0</v>
      </c>
      <c r="N25" s="2" t="s">
        <v>55</v>
      </c>
      <c r="O25" s="416" t="s">
        <v>902</v>
      </c>
      <c r="Q25" s="12"/>
    </row>
    <row r="26" spans="2:17">
      <c r="B26" s="271"/>
      <c r="D26" s="290"/>
      <c r="E26" s="294"/>
      <c r="Q26" s="12"/>
    </row>
    <row r="27" spans="2:17">
      <c r="B27" s="283"/>
      <c r="C27" s="284" t="s">
        <v>895</v>
      </c>
      <c r="D27" s="285" t="s">
        <v>251</v>
      </c>
      <c r="E27" s="295">
        <f>E29</f>
        <v>1213.9166498712214</v>
      </c>
      <c r="F27" s="284" t="s">
        <v>71</v>
      </c>
      <c r="G27" s="409">
        <f>G29</f>
        <v>1213.9166498712214</v>
      </c>
      <c r="H27" s="408" t="s">
        <v>71</v>
      </c>
      <c r="I27" s="26"/>
      <c r="J27" s="26"/>
      <c r="K27" s="295">
        <f>K29</f>
        <v>219718.91362669106</v>
      </c>
      <c r="L27" s="295">
        <f>L29</f>
        <v>0</v>
      </c>
      <c r="M27" s="295">
        <f>M29</f>
        <v>219718.91362669106</v>
      </c>
      <c r="N27" s="26"/>
      <c r="O27" s="26"/>
      <c r="P27" s="284" t="s">
        <v>872</v>
      </c>
      <c r="Q27" s="288"/>
    </row>
    <row r="28" spans="2:17">
      <c r="B28" s="271"/>
      <c r="C28" s="2" t="s">
        <v>735</v>
      </c>
      <c r="D28" s="296" t="s">
        <v>97</v>
      </c>
      <c r="E28" s="403">
        <f>G28</f>
        <v>5278.4830000000002</v>
      </c>
      <c r="F28" s="2" t="s">
        <v>71</v>
      </c>
      <c r="G28" s="129">
        <f>IFERROR((VLOOKUP(Numéro_OFS,Données_Commune,3,FALSE)),0)</f>
        <v>5278.4830000000002</v>
      </c>
      <c r="H28" s="118" t="s">
        <v>71</v>
      </c>
      <c r="I28" s="2" t="str">
        <f>_xlfn.CONCAT($D$1,D28,$D$27)</f>
        <v>Le VaudElectricitéELEC</v>
      </c>
      <c r="K28" s="292"/>
      <c r="L28" s="292"/>
      <c r="M28" s="292"/>
      <c r="N28" s="2" t="s">
        <v>55</v>
      </c>
      <c r="O28" s="416" t="s">
        <v>902</v>
      </c>
      <c r="Q28" s="12"/>
    </row>
    <row r="29" spans="2:17">
      <c r="B29" s="271"/>
      <c r="C29" s="2" t="s">
        <v>699</v>
      </c>
      <c r="D29" s="296"/>
      <c r="E29" s="404">
        <f>IF(E28&lt;(E14+E24+((E12+E22)/3)),0,E28-E14-E24-((E12+E22)/3))</f>
        <v>1213.9166498712214</v>
      </c>
      <c r="F29" s="2" t="s">
        <v>71</v>
      </c>
      <c r="G29" s="129">
        <f>IF(G28&lt;(G14+G24+((G12+G22)/3)),0,G28-G14-G24-((G12+G22)/3))</f>
        <v>1213.9166498712214</v>
      </c>
      <c r="H29" s="118" t="s">
        <v>71</v>
      </c>
      <c r="J29" s="289" t="s">
        <v>299</v>
      </c>
      <c r="K29" s="292">
        <f>IF(E29&lt;0,0,IFERROR($E29*VLOOKUP($J29,EF_Table,3,FALSE),"Erreur"))</f>
        <v>219718.91362669106</v>
      </c>
      <c r="L29" s="292">
        <f>IF(E29&lt;0,0,IFERROR($E29*VLOOKUP($J29,EF_Table,4,FALSE),"Erreur"))</f>
        <v>0</v>
      </c>
      <c r="M29" s="292">
        <f>IF(E29&lt;0,0,IFERROR($E29*VLOOKUP($J29,EF_Table,5,FALSE),"Erreur"))</f>
        <v>219718.91362669106</v>
      </c>
      <c r="N29" s="2" t="s">
        <v>55</v>
      </c>
      <c r="O29" s="415"/>
      <c r="Q29" s="12"/>
    </row>
    <row r="30" spans="2:17" ht="16.5" thickBot="1">
      <c r="B30" s="17"/>
      <c r="C30" s="18"/>
      <c r="D30" s="18"/>
      <c r="E30" s="18"/>
      <c r="F30" s="18"/>
      <c r="G30" s="135"/>
      <c r="H30" s="135"/>
      <c r="I30" s="18"/>
      <c r="J30" s="18"/>
      <c r="K30" s="18"/>
      <c r="L30" s="18"/>
      <c r="M30" s="18"/>
      <c r="N30" s="18"/>
      <c r="O30" s="18"/>
      <c r="P30" s="18"/>
      <c r="Q30" s="19"/>
    </row>
    <row r="31" spans="2:17" ht="16.5" thickBot="1"/>
    <row r="32" spans="2:17">
      <c r="B32" s="281" t="s">
        <v>27</v>
      </c>
      <c r="C32" s="4"/>
      <c r="D32" s="4"/>
      <c r="E32" s="282"/>
      <c r="F32" s="4"/>
      <c r="G32" s="406"/>
      <c r="H32" s="406"/>
      <c r="I32" s="4"/>
      <c r="J32" s="4"/>
      <c r="K32" s="4"/>
      <c r="L32" s="4"/>
      <c r="M32" s="4"/>
      <c r="N32" s="4"/>
      <c r="O32" s="4"/>
      <c r="P32" s="4"/>
      <c r="Q32" s="5"/>
    </row>
    <row r="33" spans="2:17">
      <c r="B33" s="271"/>
      <c r="Q33" s="12"/>
    </row>
    <row r="34" spans="2:17">
      <c r="B34" s="283"/>
      <c r="C34" s="284" t="s">
        <v>331</v>
      </c>
      <c r="D34" s="26"/>
      <c r="E34" s="372">
        <f>SUM(E35:E39)</f>
        <v>23350145</v>
      </c>
      <c r="F34" s="26" t="s">
        <v>58</v>
      </c>
      <c r="G34" s="127"/>
      <c r="H34" s="127"/>
      <c r="I34" s="26"/>
      <c r="J34" s="26"/>
      <c r="K34" s="287">
        <f>SUM(K35:K39)</f>
        <v>3301279.326785889</v>
      </c>
      <c r="L34" s="287">
        <f>SUM(L35:L39)</f>
        <v>1987339.6276883779</v>
      </c>
      <c r="M34" s="287">
        <f>SUM(M35:M39)</f>
        <v>1313939.6990975123</v>
      </c>
      <c r="N34" s="26"/>
      <c r="O34" s="26"/>
      <c r="P34" s="284" t="s">
        <v>845</v>
      </c>
      <c r="Q34" s="288"/>
    </row>
    <row r="35" spans="2:17">
      <c r="B35" s="299"/>
      <c r="C35" s="401" t="s">
        <v>138</v>
      </c>
      <c r="D35" s="329" t="s">
        <v>138</v>
      </c>
      <c r="E35" s="291">
        <f>IFERROR(Hab_MRMT*HLOOKUP(Typologie,'MRMT - Données'!$A$1:$H$6,2,FALSE)*365,0)</f>
        <v>18859732.5</v>
      </c>
      <c r="F35" s="2" t="s">
        <v>58</v>
      </c>
      <c r="J35" s="2" t="s">
        <v>57</v>
      </c>
      <c r="K35" s="292">
        <f>IFERROR($E35*VLOOKUP($J35,EF_Table,3,FALSE)/1.8,"Erreur")</f>
        <v>3181267.1442858893</v>
      </c>
      <c r="L35" s="292">
        <f>IFERROR($E35*VLOOKUP($J35,EF_Table,4,FALSE)/1.8,"Erreur")</f>
        <v>1913224.1876883779</v>
      </c>
      <c r="M35" s="292">
        <f>IFERROR($E35*VLOOKUP($J35,EF_Table,5,FALSE)/1.8,"Erreur")</f>
        <v>1268042.9565975121</v>
      </c>
      <c r="N35" s="2" t="s">
        <v>56</v>
      </c>
      <c r="O35" s="2" t="s">
        <v>321</v>
      </c>
      <c r="Q35" s="12"/>
    </row>
    <row r="36" spans="2:17">
      <c r="B36" s="299"/>
      <c r="C36" s="401" t="s">
        <v>320</v>
      </c>
      <c r="D36" s="329" t="s">
        <v>320</v>
      </c>
      <c r="E36" s="291">
        <f>IFERROR(Hab_MRMT*HLOOKUP(Typologie,'MRMT - Données'!$A$1:$H$6,3,FALSE)*365,0)</f>
        <v>519942.50000000006</v>
      </c>
      <c r="F36" s="2" t="s">
        <v>58</v>
      </c>
      <c r="J36" s="2" t="s">
        <v>60</v>
      </c>
      <c r="K36" s="292">
        <f>IFERROR($E36*VLOOKUP($J36,EF_Table,3,FALSE),"Erreur")</f>
        <v>57193.67500000001</v>
      </c>
      <c r="L36" s="292">
        <f>IFERROR($E36*VLOOKUP($J36,EF_Table,4,FALSE),"Erreur")</f>
        <v>45754.94000000001</v>
      </c>
      <c r="M36" s="292">
        <f>IFERROR($E36*VLOOKUP($J36,EF_Table,5,FALSE),"Erreur")</f>
        <v>11438.735000000002</v>
      </c>
      <c r="N36" s="2" t="s">
        <v>56</v>
      </c>
      <c r="O36" s="2" t="s">
        <v>321</v>
      </c>
      <c r="Q36" s="12"/>
    </row>
    <row r="37" spans="2:17">
      <c r="B37" s="299"/>
      <c r="C37" s="401" t="s">
        <v>61</v>
      </c>
      <c r="D37" s="329" t="s">
        <v>61</v>
      </c>
      <c r="E37" s="291">
        <f>IFERROR(Hab_MRMT*HLOOKUP(Typologie,'MRMT - Données'!$A$1:$H$6,4,FALSE)*365,0)</f>
        <v>2268840</v>
      </c>
      <c r="F37" s="2" t="s">
        <v>58</v>
      </c>
      <c r="J37" s="2" t="s">
        <v>61</v>
      </c>
      <c r="K37" s="292">
        <f>IFERROR($E37*VLOOKUP($J37,EF_Table,3,FALSE),"Erreur")</f>
        <v>20419.559999999998</v>
      </c>
      <c r="L37" s="292">
        <f>IFERROR($E37*VLOOKUP($J37,EF_Table,4,FALSE),"Erreur")</f>
        <v>0</v>
      </c>
      <c r="M37" s="292">
        <f>IFERROR($E37*VLOOKUP($J37,EF_Table,5,FALSE),"Erreur")</f>
        <v>20419.559999999998</v>
      </c>
      <c r="N37" s="2" t="s">
        <v>56</v>
      </c>
      <c r="O37" s="2" t="s">
        <v>321</v>
      </c>
      <c r="Q37" s="12"/>
    </row>
    <row r="38" spans="2:17">
      <c r="B38" s="299"/>
      <c r="C38" s="401" t="s">
        <v>114</v>
      </c>
      <c r="D38" s="329" t="s">
        <v>114</v>
      </c>
      <c r="E38" s="291">
        <f>IFERROR(Hab_MRMT*HLOOKUP(Typologie,'MRMT - Données'!$A$1:$H$6,5,FALSE)*365,0)</f>
        <v>709012.5</v>
      </c>
      <c r="F38" s="2" t="s">
        <v>58</v>
      </c>
      <c r="J38" s="2" t="s">
        <v>62</v>
      </c>
      <c r="K38" s="292">
        <f>IFERROR($E38*VLOOKUP($J38,EF_Table,3,FALSE),"Erreur")</f>
        <v>35450.625</v>
      </c>
      <c r="L38" s="292">
        <f>IFERROR($E38*VLOOKUP($J38,EF_Table,4,FALSE),"Erreur")</f>
        <v>28360.500000000007</v>
      </c>
      <c r="M38" s="292">
        <f>IFERROR($E38*VLOOKUP($J38,EF_Table,5,FALSE),"Erreur")</f>
        <v>7090.1250000000018</v>
      </c>
      <c r="N38" s="2" t="s">
        <v>56</v>
      </c>
      <c r="O38" s="2" t="s">
        <v>321</v>
      </c>
      <c r="Q38" s="12"/>
    </row>
    <row r="39" spans="2:17">
      <c r="B39" s="299"/>
      <c r="C39" s="401" t="s">
        <v>63</v>
      </c>
      <c r="D39" s="329" t="s">
        <v>63</v>
      </c>
      <c r="E39" s="291">
        <f>IFERROR(Hab_MRMT*HLOOKUP(Typologie,'MRMT - Données'!$A$1:$H$6,6,FALSE)*365,0)</f>
        <v>992617.5</v>
      </c>
      <c r="F39" s="2" t="s">
        <v>58</v>
      </c>
      <c r="J39" s="2" t="s">
        <v>63</v>
      </c>
      <c r="K39" s="292">
        <f>IFERROR($E39*VLOOKUP($J39,EF_Table,3,FALSE),"Erreur")</f>
        <v>6948.3225000000002</v>
      </c>
      <c r="L39" s="292">
        <f>IFERROR($E39*VLOOKUP($J39,EF_Table,4,FALSE),"Erreur")</f>
        <v>0</v>
      </c>
      <c r="M39" s="292">
        <f>IFERROR($E39*VLOOKUP($J39,EF_Table,5,FALSE),"Erreur")</f>
        <v>6948.3225000000002</v>
      </c>
      <c r="N39" s="2" t="s">
        <v>56</v>
      </c>
      <c r="O39" s="2" t="s">
        <v>321</v>
      </c>
      <c r="Q39" s="12"/>
    </row>
    <row r="40" spans="2:17">
      <c r="B40" s="299"/>
      <c r="E40" s="300"/>
      <c r="Q40" s="12"/>
    </row>
    <row r="41" spans="2:17">
      <c r="B41" s="283"/>
      <c r="C41" s="284" t="s">
        <v>734</v>
      </c>
      <c r="D41" s="26"/>
      <c r="E41" s="301"/>
      <c r="F41" s="26"/>
      <c r="G41" s="127"/>
      <c r="H41" s="127"/>
      <c r="I41" s="26"/>
      <c r="J41" s="26"/>
      <c r="K41" s="26"/>
      <c r="L41" s="26"/>
      <c r="M41" s="26"/>
      <c r="N41" s="26"/>
      <c r="O41" s="26"/>
      <c r="P41" s="284" t="s">
        <v>845</v>
      </c>
      <c r="Q41" s="288"/>
    </row>
    <row r="42" spans="2:17">
      <c r="B42" s="299"/>
      <c r="C42" s="400" t="s">
        <v>800</v>
      </c>
      <c r="D42" s="329" t="s">
        <v>800</v>
      </c>
      <c r="E42" s="291">
        <f>SUM(E43:E47)</f>
        <v>392412.8</v>
      </c>
      <c r="F42" s="2" t="s">
        <v>58</v>
      </c>
      <c r="K42" s="292"/>
      <c r="L42" s="292"/>
      <c r="M42" s="292"/>
      <c r="N42" s="2" t="s">
        <v>56</v>
      </c>
      <c r="O42" s="2" t="s">
        <v>889</v>
      </c>
      <c r="Q42" s="12"/>
    </row>
    <row r="43" spans="2:17">
      <c r="B43" s="299"/>
      <c r="C43" s="401" t="s">
        <v>138</v>
      </c>
      <c r="D43" s="293"/>
      <c r="E43" s="291">
        <f>E49+E55</f>
        <v>296390.39999999997</v>
      </c>
      <c r="F43" s="2" t="s">
        <v>58</v>
      </c>
      <c r="J43" s="2" t="s">
        <v>57</v>
      </c>
      <c r="K43" s="292">
        <f>IFERROR($E43*VLOOKUP($J43,EF_Table,3,FALSE)/1.1,"Erreur")</f>
        <v>81810.409102286343</v>
      </c>
      <c r="L43" s="292">
        <f>IFERROR($E43*VLOOKUP($J43,EF_Table,4,FALSE)/1.1,"Erreur")</f>
        <v>49201.040466002945</v>
      </c>
      <c r="M43" s="292">
        <f>IFERROR($E43*VLOOKUP($J43,EF_Table,5,FALSE)/1.1,"Erreur")</f>
        <v>32609.368636283416</v>
      </c>
      <c r="N43" s="2" t="s">
        <v>56</v>
      </c>
      <c r="O43" s="2" t="s">
        <v>321</v>
      </c>
      <c r="Q43" s="12"/>
    </row>
    <row r="44" spans="2:17">
      <c r="B44" s="299"/>
      <c r="C44" s="401" t="s">
        <v>320</v>
      </c>
      <c r="D44" s="293"/>
      <c r="E44" s="291">
        <f>E50+E56</f>
        <v>6483.2</v>
      </c>
      <c r="F44" s="2" t="s">
        <v>58</v>
      </c>
      <c r="J44" s="2" t="s">
        <v>60</v>
      </c>
      <c r="K44" s="292">
        <f>IFERROR($E44*VLOOKUP($J44,EF_Table,3,FALSE),"Erreur")</f>
        <v>713.15199999999993</v>
      </c>
      <c r="L44" s="292">
        <f>IFERROR($E44*VLOOKUP($J44,EF_Table,4,FALSE),"Erreur")</f>
        <v>570.52160000000003</v>
      </c>
      <c r="M44" s="292">
        <f>IFERROR($E44*VLOOKUP($J44,EF_Table,5,FALSE),"Erreur")</f>
        <v>142.63040000000001</v>
      </c>
      <c r="N44" s="2" t="s">
        <v>56</v>
      </c>
      <c r="O44" s="2" t="s">
        <v>321</v>
      </c>
      <c r="Q44" s="12"/>
    </row>
    <row r="45" spans="2:17">
      <c r="B45" s="299"/>
      <c r="C45" s="401" t="s">
        <v>61</v>
      </c>
      <c r="D45" s="293"/>
      <c r="E45" s="291">
        <f>E51+E57</f>
        <v>57727.999999999993</v>
      </c>
      <c r="F45" s="2" t="s">
        <v>58</v>
      </c>
      <c r="J45" s="2" t="s">
        <v>61</v>
      </c>
      <c r="K45" s="292">
        <f>IFERROR($E45*VLOOKUP($J45,EF_Table,3,FALSE),"Erreur")</f>
        <v>519.55199999999991</v>
      </c>
      <c r="L45" s="292">
        <f>IFERROR($E45*VLOOKUP($J45,EF_Table,4,FALSE),"Erreur")</f>
        <v>0</v>
      </c>
      <c r="M45" s="292">
        <f>IFERROR($E45*VLOOKUP($J45,EF_Table,5,FALSE),"Erreur")</f>
        <v>519.55199999999991</v>
      </c>
      <c r="N45" s="2" t="s">
        <v>56</v>
      </c>
      <c r="O45" s="2" t="s">
        <v>321</v>
      </c>
      <c r="Q45" s="12"/>
    </row>
    <row r="46" spans="2:17">
      <c r="B46" s="299"/>
      <c r="C46" s="401" t="s">
        <v>114</v>
      </c>
      <c r="D46" s="293"/>
      <c r="E46" s="291">
        <f>E52+E58</f>
        <v>12832</v>
      </c>
      <c r="F46" s="2" t="s">
        <v>58</v>
      </c>
      <c r="J46" s="2" t="s">
        <v>62</v>
      </c>
      <c r="K46" s="292">
        <f>IFERROR($E46*VLOOKUP($J46,EF_Table,3,FALSE),"Erreur")</f>
        <v>641.6</v>
      </c>
      <c r="L46" s="292">
        <f>IFERROR($E46*VLOOKUP($J46,EF_Table,4,FALSE),"Erreur")</f>
        <v>513.28000000000009</v>
      </c>
      <c r="M46" s="292">
        <f>IFERROR($E46*VLOOKUP($J46,EF_Table,5,FALSE),"Erreur")</f>
        <v>128.32000000000002</v>
      </c>
      <c r="N46" s="2" t="s">
        <v>56</v>
      </c>
      <c r="O46" s="2" t="s">
        <v>321</v>
      </c>
      <c r="Q46" s="12"/>
    </row>
    <row r="47" spans="2:17">
      <c r="B47" s="299"/>
      <c r="C47" s="401" t="s">
        <v>63</v>
      </c>
      <c r="D47" s="293"/>
      <c r="E47" s="291">
        <f>E53+E59</f>
        <v>18979.2</v>
      </c>
      <c r="F47" s="2" t="s">
        <v>58</v>
      </c>
      <c r="J47" s="2" t="s">
        <v>63</v>
      </c>
      <c r="K47" s="292">
        <f>IFERROR($E47*VLOOKUP($J47,EF_Table,3,FALSE),"Erreur")</f>
        <v>132.8544</v>
      </c>
      <c r="L47" s="292">
        <f>IFERROR($E47*VLOOKUP($J47,EF_Table,4,FALSE),"Erreur")</f>
        <v>0</v>
      </c>
      <c r="M47" s="292">
        <f>IFERROR($E47*VLOOKUP($J47,EF_Table,5,FALSE),"Erreur")</f>
        <v>132.8544</v>
      </c>
      <c r="N47" s="2" t="s">
        <v>56</v>
      </c>
      <c r="O47" s="2" t="s">
        <v>321</v>
      </c>
      <c r="Q47" s="12"/>
    </row>
    <row r="48" spans="2:17" hidden="1">
      <c r="B48" s="299"/>
      <c r="C48" s="298" t="s">
        <v>36</v>
      </c>
      <c r="E48" s="302"/>
      <c r="Q48" s="12"/>
    </row>
    <row r="49" spans="2:17" hidden="1">
      <c r="B49" s="299"/>
      <c r="D49" s="2" t="s">
        <v>57</v>
      </c>
      <c r="E49" s="291">
        <f>IFERROR(Frontaliers*'MRMT - Données'!J2*200/2,0)</f>
        <v>59270.400000000009</v>
      </c>
      <c r="F49" s="2" t="s">
        <v>58</v>
      </c>
      <c r="J49" s="2" t="s">
        <v>57</v>
      </c>
      <c r="K49" s="292">
        <f>IFERROR($E49*VLOOKUP($J49,EF_Table,3,FALSE)/1.1,"Erreur")</f>
        <v>16359.961967918507</v>
      </c>
      <c r="L49" s="292">
        <f>IFERROR($E49*VLOOKUP($J49,EF_Table,4,FALSE)/1.1,"Erreur")</f>
        <v>9838.9332071355257</v>
      </c>
      <c r="M49" s="292">
        <f>IFERROR($E49*VLOOKUP($J49,EF_Table,5,FALSE)/1.1,"Erreur")</f>
        <v>6521.0287607829841</v>
      </c>
      <c r="N49" s="2" t="s">
        <v>56</v>
      </c>
      <c r="O49" s="2" t="s">
        <v>322</v>
      </c>
      <c r="Q49" s="12"/>
    </row>
    <row r="50" spans="2:17" hidden="1">
      <c r="B50" s="299"/>
      <c r="D50" s="2" t="s">
        <v>60</v>
      </c>
      <c r="E50" s="291">
        <f>IFERROR(Frontaliers*'MRMT - Données'!J3*200/2,0)</f>
        <v>403.2</v>
      </c>
      <c r="F50" s="2" t="s">
        <v>58</v>
      </c>
      <c r="J50" s="2" t="s">
        <v>60</v>
      </c>
      <c r="K50" s="292">
        <f>IFERROR($E50*VLOOKUP($J50,EF_Table,3,FALSE),"Erreur")</f>
        <v>44.351999999999997</v>
      </c>
      <c r="L50" s="292">
        <f>IFERROR($E50*VLOOKUP($J50,EF_Table,4,FALSE),"Erreur")</f>
        <v>35.4816</v>
      </c>
      <c r="M50" s="292">
        <f>IFERROR($E50*VLOOKUP($J50,EF_Table,5,FALSE),"Erreur")</f>
        <v>8.8704000000000001</v>
      </c>
      <c r="N50" s="2" t="s">
        <v>56</v>
      </c>
      <c r="O50" s="2" t="s">
        <v>322</v>
      </c>
      <c r="Q50" s="12"/>
    </row>
    <row r="51" spans="2:17" hidden="1">
      <c r="B51" s="299"/>
      <c r="D51" s="2" t="s">
        <v>61</v>
      </c>
      <c r="E51" s="291">
        <f>IFERROR(Frontaliers*'MRMT - Données'!J4*200/2,0)</f>
        <v>6048</v>
      </c>
      <c r="F51" s="2" t="s">
        <v>58</v>
      </c>
      <c r="J51" s="2" t="s">
        <v>61</v>
      </c>
      <c r="K51" s="292">
        <f>IFERROR($E51*VLOOKUP($J51,EF_Table,3,FALSE),"Erreur")</f>
        <v>54.431999999999995</v>
      </c>
      <c r="L51" s="292">
        <f>IFERROR($E51*VLOOKUP($J51,EF_Table,4,FALSE),"Erreur")</f>
        <v>0</v>
      </c>
      <c r="M51" s="292">
        <f>IFERROR($E51*VLOOKUP($J51,EF_Table,5,FALSE),"Erreur")</f>
        <v>54.431999999999995</v>
      </c>
      <c r="N51" s="2" t="s">
        <v>56</v>
      </c>
      <c r="O51" s="2" t="s">
        <v>322</v>
      </c>
      <c r="Q51" s="12"/>
    </row>
    <row r="52" spans="2:17" hidden="1">
      <c r="B52" s="299"/>
      <c r="D52" s="2" t="s">
        <v>62</v>
      </c>
      <c r="E52" s="291">
        <f>IFERROR(Frontaliers*'MRMT - Données'!J5*200/2,0)</f>
        <v>672.00000000000011</v>
      </c>
      <c r="F52" s="2" t="s">
        <v>58</v>
      </c>
      <c r="J52" s="2" t="s">
        <v>62</v>
      </c>
      <c r="K52" s="292">
        <f>IFERROR($E52*VLOOKUP($J52,EF_Table,3,FALSE),"Erreur")</f>
        <v>33.600000000000009</v>
      </c>
      <c r="L52" s="292">
        <f>IFERROR($E52*VLOOKUP($J52,EF_Table,4,FALSE),"Erreur")</f>
        <v>26.88000000000001</v>
      </c>
      <c r="M52" s="292">
        <f>IFERROR($E52*VLOOKUP($J52,EF_Table,5,FALSE),"Erreur")</f>
        <v>6.7200000000000024</v>
      </c>
      <c r="N52" s="2" t="s">
        <v>56</v>
      </c>
      <c r="O52" s="2" t="s">
        <v>322</v>
      </c>
      <c r="Q52" s="12"/>
    </row>
    <row r="53" spans="2:17" hidden="1">
      <c r="B53" s="299"/>
      <c r="D53" s="2" t="s">
        <v>63</v>
      </c>
      <c r="E53" s="291">
        <f>IFERROR(Frontaliers*'MRMT - Données'!J6*200/2,0)</f>
        <v>739.19999999999993</v>
      </c>
      <c r="F53" s="2" t="s">
        <v>58</v>
      </c>
      <c r="J53" s="2" t="s">
        <v>63</v>
      </c>
      <c r="K53" s="292">
        <f>IFERROR($E53*VLOOKUP($J53,EF_Table,3,FALSE),"Erreur")</f>
        <v>5.1743999999999994</v>
      </c>
      <c r="L53" s="292">
        <f>IFERROR($E53*VLOOKUP($J53,EF_Table,4,FALSE),"Erreur")</f>
        <v>0</v>
      </c>
      <c r="M53" s="292">
        <f>IFERROR($E53*VLOOKUP($J53,EF_Table,5,FALSE),"Erreur")</f>
        <v>5.1743999999999994</v>
      </c>
      <c r="N53" s="2" t="s">
        <v>56</v>
      </c>
      <c r="O53" s="2" t="s">
        <v>322</v>
      </c>
      <c r="Q53" s="12"/>
    </row>
    <row r="54" spans="2:17" hidden="1">
      <c r="B54" s="299"/>
      <c r="C54" s="298" t="s">
        <v>94</v>
      </c>
      <c r="E54" s="300"/>
      <c r="Q54" s="12"/>
    </row>
    <row r="55" spans="2:17" hidden="1">
      <c r="B55" s="299"/>
      <c r="D55" s="2" t="s">
        <v>57</v>
      </c>
      <c r="E55" s="291">
        <f>IFERROR(Pendulaires_CH*'MRMT - Données'!K2*200/2,0)</f>
        <v>237119.99999999997</v>
      </c>
      <c r="F55" s="2" t="s">
        <v>58</v>
      </c>
      <c r="J55" s="2" t="s">
        <v>57</v>
      </c>
      <c r="K55" s="292">
        <f>IFERROR($E55*VLOOKUP($J55,EF_Table,3,FALSE)/1.1,"Erreur")</f>
        <v>65450.447134367838</v>
      </c>
      <c r="L55" s="292">
        <f>IFERROR($E55*VLOOKUP($J55,EF_Table,4,FALSE)/1.1,"Erreur")</f>
        <v>39362.107258867414</v>
      </c>
      <c r="M55" s="292">
        <f>IFERROR($E55*VLOOKUP($J55,EF_Table,5,FALSE)/1.1,"Erreur")</f>
        <v>26088.339875500431</v>
      </c>
      <c r="N55" s="2" t="s">
        <v>56</v>
      </c>
      <c r="O55" s="2" t="s">
        <v>322</v>
      </c>
      <c r="Q55" s="12"/>
    </row>
    <row r="56" spans="2:17" hidden="1">
      <c r="B56" s="299"/>
      <c r="D56" s="2" t="s">
        <v>60</v>
      </c>
      <c r="E56" s="291">
        <f>IFERROR(Pendulaires_CH*'MRMT - Données'!K3*200/2,0)</f>
        <v>6080</v>
      </c>
      <c r="F56" s="2" t="s">
        <v>58</v>
      </c>
      <c r="J56" s="2" t="s">
        <v>60</v>
      </c>
      <c r="K56" s="292">
        <f>IFERROR($E56*VLOOKUP($J56,EF_Table,3,FALSE),"Erreur")</f>
        <v>668.8</v>
      </c>
      <c r="L56" s="292">
        <f>IFERROR($E56*VLOOKUP($J56,EF_Table,4,FALSE),"Erreur")</f>
        <v>535.04000000000008</v>
      </c>
      <c r="M56" s="292">
        <f>IFERROR($E56*VLOOKUP($J56,EF_Table,5,FALSE),"Erreur")</f>
        <v>133.76000000000002</v>
      </c>
      <c r="N56" s="2" t="s">
        <v>56</v>
      </c>
      <c r="O56" s="2" t="s">
        <v>322</v>
      </c>
      <c r="Q56" s="12"/>
    </row>
    <row r="57" spans="2:17" hidden="1">
      <c r="B57" s="299"/>
      <c r="D57" s="2" t="s">
        <v>61</v>
      </c>
      <c r="E57" s="291">
        <f>IFERROR(Pendulaires_CH*'MRMT - Données'!K4*200/2,0)</f>
        <v>51679.999999999993</v>
      </c>
      <c r="F57" s="2" t="s">
        <v>58</v>
      </c>
      <c r="J57" s="2" t="s">
        <v>61</v>
      </c>
      <c r="K57" s="292">
        <f>IFERROR($E57*VLOOKUP($J57,EF_Table,3,FALSE),"Erreur")</f>
        <v>465.11999999999989</v>
      </c>
      <c r="L57" s="292">
        <f>IFERROR($E57*VLOOKUP($J57,EF_Table,4,FALSE),"Erreur")</f>
        <v>0</v>
      </c>
      <c r="M57" s="292">
        <f>IFERROR($E57*VLOOKUP($J57,EF_Table,5,FALSE),"Erreur")</f>
        <v>465.11999999999989</v>
      </c>
      <c r="N57" s="2" t="s">
        <v>56</v>
      </c>
      <c r="O57" s="2" t="s">
        <v>322</v>
      </c>
      <c r="Q57" s="12"/>
    </row>
    <row r="58" spans="2:17" hidden="1">
      <c r="B58" s="299"/>
      <c r="D58" s="2" t="s">
        <v>62</v>
      </c>
      <c r="E58" s="291">
        <f>IFERROR(Pendulaires_CH*'MRMT - Données'!K5*200/2,0)</f>
        <v>12160</v>
      </c>
      <c r="F58" s="2" t="s">
        <v>58</v>
      </c>
      <c r="J58" s="2" t="s">
        <v>62</v>
      </c>
      <c r="K58" s="292">
        <f>IFERROR($E58*VLOOKUP($J58,EF_Table,3,FALSE),"Erreur")</f>
        <v>608</v>
      </c>
      <c r="L58" s="292">
        <f>IFERROR($E58*VLOOKUP($J58,EF_Table,4,FALSE),"Erreur")</f>
        <v>486.40000000000009</v>
      </c>
      <c r="M58" s="292">
        <f>IFERROR($E58*VLOOKUP($J58,EF_Table,5,FALSE),"Erreur")</f>
        <v>121.60000000000002</v>
      </c>
      <c r="N58" s="2" t="s">
        <v>56</v>
      </c>
      <c r="O58" s="2" t="s">
        <v>322</v>
      </c>
      <c r="Q58" s="12"/>
    </row>
    <row r="59" spans="2:17" hidden="1">
      <c r="B59" s="299"/>
      <c r="D59" s="2" t="s">
        <v>63</v>
      </c>
      <c r="E59" s="291">
        <f>IFERROR(Pendulaires_CH*'MRMT - Données'!K6*200/2,0)</f>
        <v>18240</v>
      </c>
      <c r="F59" s="2" t="s">
        <v>58</v>
      </c>
      <c r="J59" s="2" t="s">
        <v>63</v>
      </c>
      <c r="K59" s="292">
        <f>IFERROR($E59*VLOOKUP($J59,EF_Table,3,FALSE),"Erreur")</f>
        <v>127.68</v>
      </c>
      <c r="L59" s="292">
        <f>IFERROR($E59*VLOOKUP($J59,EF_Table,4,FALSE),"Erreur")</f>
        <v>0</v>
      </c>
      <c r="M59" s="292">
        <f>IFERROR($E59*VLOOKUP($J59,EF_Table,5,FALSE),"Erreur")</f>
        <v>127.68</v>
      </c>
      <c r="N59" s="2" t="s">
        <v>56</v>
      </c>
      <c r="O59" s="2" t="s">
        <v>322</v>
      </c>
      <c r="Q59" s="12"/>
    </row>
    <row r="60" spans="2:17">
      <c r="B60" s="299"/>
      <c r="E60" s="300"/>
      <c r="Q60" s="12"/>
    </row>
    <row r="61" spans="2:17">
      <c r="B61" s="303"/>
      <c r="C61" s="284" t="s">
        <v>340</v>
      </c>
      <c r="D61" s="26"/>
      <c r="E61" s="304">
        <f>IFERROR(Hab_MRMT*'MRMT - Données'!A10/2,0)</f>
        <v>6919832.5</v>
      </c>
      <c r="F61" s="26" t="s">
        <v>64</v>
      </c>
      <c r="G61" s="127"/>
      <c r="H61" s="127"/>
      <c r="I61" s="26"/>
      <c r="J61" s="26" t="s">
        <v>323</v>
      </c>
      <c r="K61" s="305">
        <f>IFERROR($E61*VLOOKUP($J61,EF_Table,3,FALSE),"Erreur")</f>
        <v>1501880.4457999999</v>
      </c>
      <c r="L61" s="305">
        <f>IFERROR($E61*VLOOKUP($J61,EF_Table,4,FALSE),"Erreur")</f>
        <v>0</v>
      </c>
      <c r="M61" s="305">
        <f>IFERROR($E61*VLOOKUP($J61,EF_Table,5,FALSE),"Erreur")</f>
        <v>1501880.4457999999</v>
      </c>
      <c r="N61" s="26" t="s">
        <v>56</v>
      </c>
      <c r="O61" s="26" t="s">
        <v>321</v>
      </c>
      <c r="P61" s="26"/>
      <c r="Q61" s="288"/>
    </row>
    <row r="62" spans="2:17" ht="16.5" thickBot="1">
      <c r="B62" s="17"/>
      <c r="C62" s="18"/>
      <c r="D62" s="18"/>
      <c r="E62" s="18"/>
      <c r="F62" s="18"/>
      <c r="G62" s="135"/>
      <c r="H62" s="135"/>
      <c r="I62" s="18"/>
      <c r="J62" s="18"/>
      <c r="K62" s="18"/>
      <c r="L62" s="18"/>
      <c r="M62" s="18"/>
      <c r="N62" s="18"/>
      <c r="O62" s="18"/>
      <c r="P62" s="18"/>
      <c r="Q62" s="19"/>
    </row>
    <row r="63" spans="2:17" ht="16.5" thickBot="1"/>
    <row r="64" spans="2:17">
      <c r="B64" s="281" t="s">
        <v>54</v>
      </c>
      <c r="C64" s="4"/>
      <c r="D64" s="4"/>
      <c r="E64" s="282"/>
      <c r="F64" s="4"/>
      <c r="G64" s="406"/>
      <c r="H64" s="406"/>
      <c r="I64" s="4"/>
      <c r="J64" s="4"/>
      <c r="K64" s="4"/>
      <c r="L64" s="4"/>
      <c r="M64" s="4"/>
      <c r="N64" s="4"/>
      <c r="O64" s="4"/>
      <c r="P64" s="4"/>
      <c r="Q64" s="5"/>
    </row>
    <row r="65" spans="2:17">
      <c r="B65" s="271"/>
      <c r="Q65" s="12"/>
    </row>
    <row r="66" spans="2:17" s="20" customFormat="1">
      <c r="B66" s="205"/>
      <c r="C66" s="206" t="s">
        <v>28</v>
      </c>
      <c r="D66" s="145"/>
      <c r="E66" s="145"/>
      <c r="F66" s="145"/>
      <c r="G66" s="410"/>
      <c r="H66" s="410"/>
      <c r="I66" s="145"/>
      <c r="J66" s="145"/>
      <c r="K66" s="231"/>
      <c r="L66" s="231"/>
      <c r="M66" s="231"/>
      <c r="N66" s="145"/>
      <c r="O66" s="145"/>
      <c r="P66" s="145"/>
      <c r="Q66" s="97"/>
    </row>
    <row r="67" spans="2:17" ht="18.75">
      <c r="B67" s="299"/>
      <c r="C67" s="20" t="s">
        <v>341</v>
      </c>
      <c r="E67" s="306">
        <f>hab_commune*75</f>
        <v>102150</v>
      </c>
      <c r="F67" s="2" t="s">
        <v>92</v>
      </c>
      <c r="J67" s="2" t="s">
        <v>28</v>
      </c>
      <c r="K67" s="292">
        <f>IFERROR($E67*VLOOKUP($J67,EF_Table,3,FALSE),"Erreur")</f>
        <v>4433.3100000000004</v>
      </c>
      <c r="L67" s="292">
        <f>IFERROR($E67*VLOOKUP($J67,EF_Table,4,FALSE),"Erreur")</f>
        <v>4433.3100000000004</v>
      </c>
      <c r="M67" s="292">
        <f>IFERROR($E67*VLOOKUP($J67,EF_Table,5,FALSE),"Erreur")</f>
        <v>0</v>
      </c>
      <c r="N67" s="2" t="s">
        <v>55</v>
      </c>
      <c r="O67" s="2" t="s">
        <v>703</v>
      </c>
      <c r="Q67" s="12"/>
    </row>
    <row r="68" spans="2:17">
      <c r="B68" s="303"/>
      <c r="C68" s="284" t="s">
        <v>93</v>
      </c>
      <c r="D68" s="26"/>
      <c r="E68" s="304"/>
      <c r="F68" s="284" t="s">
        <v>351</v>
      </c>
      <c r="G68" s="408"/>
      <c r="H68" s="408"/>
      <c r="I68" s="26"/>
      <c r="J68" s="26"/>
      <c r="K68" s="287">
        <f>SUM(K69:K81)</f>
        <v>-72890.485063800006</v>
      </c>
      <c r="L68" s="287">
        <f>SUM(L69:L81)</f>
        <v>-72890.485063800006</v>
      </c>
      <c r="M68" s="287">
        <f>SUM(M69:M81)</f>
        <v>0</v>
      </c>
      <c r="N68" s="26"/>
      <c r="O68" s="26"/>
      <c r="P68" s="26" t="s">
        <v>848</v>
      </c>
      <c r="Q68" s="288"/>
    </row>
    <row r="69" spans="2:17">
      <c r="B69" s="299"/>
      <c r="C69" s="2" t="s">
        <v>260</v>
      </c>
      <c r="E69" s="144">
        <v>217420</v>
      </c>
      <c r="F69" s="327" t="s">
        <v>352</v>
      </c>
      <c r="G69" s="411"/>
      <c r="H69" s="411"/>
      <c r="J69" s="289" t="str">
        <f t="shared" ref="J69:J81" si="12">_xlfn.CONCAT(C69," - ",F69)</f>
        <v>Déchets incinérables - kilogrammes</v>
      </c>
      <c r="K69" s="292">
        <f t="shared" ref="K69:K81" si="13">IFERROR($E69*VLOOKUP($J69,EF_Table,3,FALSE),"Erreur")</f>
        <v>113582.38219999998</v>
      </c>
      <c r="L69" s="292">
        <f t="shared" ref="L69:L81" si="14">IFERROR($E69*VLOOKUP($J69,EF_Table,4,FALSE),"Erreur")</f>
        <v>113582.38219999998</v>
      </c>
      <c r="M69" s="292">
        <f t="shared" ref="M69:M81" si="15">IFERROR($E69*VLOOKUP($J69,EF_Table,5,FALSE),"Erreur")</f>
        <v>0</v>
      </c>
      <c r="N69" s="2" t="s">
        <v>55</v>
      </c>
      <c r="O69" s="328" t="s">
        <v>923</v>
      </c>
      <c r="Q69" s="12"/>
    </row>
    <row r="70" spans="2:17">
      <c r="B70" s="299"/>
      <c r="C70" s="2" t="s">
        <v>377</v>
      </c>
      <c r="E70" s="144">
        <v>230000</v>
      </c>
      <c r="F70" s="327" t="s">
        <v>352</v>
      </c>
      <c r="G70" s="411"/>
      <c r="H70" s="411"/>
      <c r="J70" s="289" t="str">
        <f t="shared" si="12"/>
        <v>Biodéchets, compostage - kilogrammes</v>
      </c>
      <c r="K70" s="292">
        <f t="shared" si="13"/>
        <v>11247</v>
      </c>
      <c r="L70" s="292">
        <f t="shared" si="14"/>
        <v>11247</v>
      </c>
      <c r="M70" s="292">
        <f t="shared" si="15"/>
        <v>0</v>
      </c>
      <c r="N70" s="2" t="s">
        <v>55</v>
      </c>
      <c r="O70" s="328" t="s">
        <v>923</v>
      </c>
      <c r="Q70" s="12"/>
    </row>
    <row r="71" spans="2:17">
      <c r="B71" s="299"/>
      <c r="C71" s="2" t="s">
        <v>376</v>
      </c>
      <c r="E71" s="144">
        <v>0</v>
      </c>
      <c r="F71" s="327" t="s">
        <v>352</v>
      </c>
      <c r="G71" s="411"/>
      <c r="H71" s="411"/>
      <c r="J71" s="289" t="str">
        <f t="shared" si="12"/>
        <v>Biodéchets, biogaz - kilogrammes</v>
      </c>
      <c r="K71" s="292">
        <f t="shared" si="13"/>
        <v>0</v>
      </c>
      <c r="L71" s="292">
        <f t="shared" si="14"/>
        <v>0</v>
      </c>
      <c r="M71" s="292">
        <f t="shared" si="15"/>
        <v>0</v>
      </c>
      <c r="N71" s="2" t="s">
        <v>55</v>
      </c>
      <c r="O71" s="328" t="s">
        <v>923</v>
      </c>
      <c r="Q71" s="12"/>
    </row>
    <row r="72" spans="2:17">
      <c r="B72" s="299"/>
      <c r="C72" s="2" t="s">
        <v>261</v>
      </c>
      <c r="E72" s="144">
        <v>95000</v>
      </c>
      <c r="F72" s="327" t="s">
        <v>352</v>
      </c>
      <c r="G72" s="411"/>
      <c r="H72" s="411"/>
      <c r="J72" s="289" t="str">
        <f t="shared" si="12"/>
        <v>Papier, carton - kilogrammes</v>
      </c>
      <c r="K72" s="292">
        <f t="shared" si="13"/>
        <v>-79930.99265</v>
      </c>
      <c r="L72" s="292">
        <f t="shared" si="14"/>
        <v>-79930.99265</v>
      </c>
      <c r="M72" s="292">
        <f t="shared" si="15"/>
        <v>0</v>
      </c>
      <c r="N72" s="2" t="s">
        <v>55</v>
      </c>
      <c r="O72" s="328" t="s">
        <v>923</v>
      </c>
      <c r="Q72" s="12"/>
    </row>
    <row r="73" spans="2:17">
      <c r="B73" s="299"/>
      <c r="C73" s="2" t="s">
        <v>372</v>
      </c>
      <c r="E73" s="144">
        <v>0</v>
      </c>
      <c r="F73" s="327" t="s">
        <v>352</v>
      </c>
      <c r="G73" s="411"/>
      <c r="H73" s="411"/>
      <c r="J73" s="289" t="str">
        <f t="shared" si="12"/>
        <v>Aluminium - kilogrammes</v>
      </c>
      <c r="K73" s="292">
        <f t="shared" si="13"/>
        <v>0</v>
      </c>
      <c r="L73" s="292">
        <f t="shared" si="14"/>
        <v>0</v>
      </c>
      <c r="M73" s="292">
        <f t="shared" si="15"/>
        <v>0</v>
      </c>
      <c r="N73" s="2" t="s">
        <v>55</v>
      </c>
      <c r="O73" s="328" t="s">
        <v>923</v>
      </c>
      <c r="Q73" s="12"/>
    </row>
    <row r="74" spans="2:17">
      <c r="B74" s="299"/>
      <c r="C74" s="2" t="s">
        <v>265</v>
      </c>
      <c r="E74" s="144">
        <v>28000</v>
      </c>
      <c r="F74" s="327" t="s">
        <v>352</v>
      </c>
      <c r="G74" s="411"/>
      <c r="H74" s="411"/>
      <c r="J74" s="289" t="str">
        <f t="shared" si="12"/>
        <v>Ferraille - kilogrammes</v>
      </c>
      <c r="K74" s="292">
        <f t="shared" si="13"/>
        <v>-65962.17319999999</v>
      </c>
      <c r="L74" s="292">
        <f t="shared" si="14"/>
        <v>-65962.17319999999</v>
      </c>
      <c r="M74" s="292">
        <f t="shared" si="15"/>
        <v>0</v>
      </c>
      <c r="N74" s="2" t="s">
        <v>55</v>
      </c>
      <c r="O74" s="328" t="s">
        <v>923</v>
      </c>
      <c r="Q74" s="12"/>
    </row>
    <row r="75" spans="2:17">
      <c r="B75" s="299"/>
      <c r="C75" s="2" t="s">
        <v>262</v>
      </c>
      <c r="E75" s="144">
        <v>70010</v>
      </c>
      <c r="F75" s="327" t="s">
        <v>352</v>
      </c>
      <c r="G75" s="411"/>
      <c r="H75" s="411"/>
      <c r="J75" s="289" t="str">
        <f t="shared" si="12"/>
        <v>Verre - kilogrammes</v>
      </c>
      <c r="K75" s="292">
        <f t="shared" si="13"/>
        <v>-44612.148853799998</v>
      </c>
      <c r="L75" s="292">
        <f t="shared" si="14"/>
        <v>-44612.148853799998</v>
      </c>
      <c r="M75" s="292">
        <f t="shared" si="15"/>
        <v>0</v>
      </c>
      <c r="N75" s="2" t="s">
        <v>55</v>
      </c>
      <c r="O75" s="328" t="s">
        <v>923</v>
      </c>
      <c r="Q75" s="12"/>
    </row>
    <row r="76" spans="2:17">
      <c r="B76" s="299"/>
      <c r="C76" s="2" t="s">
        <v>263</v>
      </c>
      <c r="E76" s="144">
        <v>4000</v>
      </c>
      <c r="F76" s="327" t="s">
        <v>352</v>
      </c>
      <c r="G76" s="411"/>
      <c r="H76" s="411"/>
      <c r="J76" s="289" t="str">
        <f t="shared" si="12"/>
        <v>PET - kilogrammes</v>
      </c>
      <c r="K76" s="292">
        <f t="shared" si="13"/>
        <v>-9822.4268000000011</v>
      </c>
      <c r="L76" s="292">
        <f t="shared" si="14"/>
        <v>-9822.4268000000011</v>
      </c>
      <c r="M76" s="292">
        <f t="shared" si="15"/>
        <v>0</v>
      </c>
      <c r="N76" s="2" t="s">
        <v>55</v>
      </c>
      <c r="O76" s="328" t="s">
        <v>923</v>
      </c>
      <c r="Q76" s="12"/>
    </row>
    <row r="77" spans="2:17">
      <c r="B77" s="299"/>
      <c r="C77" s="2" t="s">
        <v>378</v>
      </c>
      <c r="E77" s="144">
        <v>2000</v>
      </c>
      <c r="F77" s="327" t="s">
        <v>352</v>
      </c>
      <c r="G77" s="411"/>
      <c r="H77" s="411"/>
      <c r="J77" s="289" t="str">
        <f t="shared" si="12"/>
        <v>Flaconnage - kilogrammes</v>
      </c>
      <c r="K77" s="292">
        <f t="shared" si="13"/>
        <v>-1000</v>
      </c>
      <c r="L77" s="292">
        <f t="shared" si="14"/>
        <v>-1000</v>
      </c>
      <c r="M77" s="292">
        <f t="shared" si="15"/>
        <v>0</v>
      </c>
      <c r="N77" s="2" t="s">
        <v>55</v>
      </c>
      <c r="O77" s="328" t="s">
        <v>923</v>
      </c>
      <c r="Q77" s="12"/>
    </row>
    <row r="78" spans="2:17">
      <c r="B78" s="299"/>
      <c r="C78" s="2" t="s">
        <v>375</v>
      </c>
      <c r="E78" s="144">
        <v>100000</v>
      </c>
      <c r="F78" s="327" t="s">
        <v>352</v>
      </c>
      <c r="G78" s="411"/>
      <c r="H78" s="411"/>
      <c r="J78" s="289" t="str">
        <f t="shared" si="12"/>
        <v>Bois traité - kilogrammes</v>
      </c>
      <c r="K78" s="292">
        <f t="shared" si="13"/>
        <v>922.27423999999996</v>
      </c>
      <c r="L78" s="292">
        <f t="shared" si="14"/>
        <v>922.27423999999996</v>
      </c>
      <c r="M78" s="292">
        <f t="shared" si="15"/>
        <v>0</v>
      </c>
      <c r="N78" s="2" t="s">
        <v>55</v>
      </c>
      <c r="O78" s="328" t="s">
        <v>923</v>
      </c>
      <c r="Q78" s="12"/>
    </row>
    <row r="79" spans="2:17">
      <c r="B79" s="299"/>
      <c r="C79" s="2" t="s">
        <v>370</v>
      </c>
      <c r="E79" s="144">
        <v>4280</v>
      </c>
      <c r="F79" s="327" t="s">
        <v>352</v>
      </c>
      <c r="G79" s="411"/>
      <c r="H79" s="411"/>
      <c r="J79" s="289" t="str">
        <f t="shared" si="12"/>
        <v>Déchets électriques et électroniques OREA - kilogrammes</v>
      </c>
      <c r="K79" s="292">
        <f t="shared" si="13"/>
        <v>1369.6000000000001</v>
      </c>
      <c r="L79" s="292">
        <f t="shared" si="14"/>
        <v>1369.6000000000001</v>
      </c>
      <c r="M79" s="292">
        <f t="shared" si="15"/>
        <v>0</v>
      </c>
      <c r="N79" s="2" t="s">
        <v>55</v>
      </c>
      <c r="O79" s="328" t="s">
        <v>923</v>
      </c>
      <c r="Q79" s="12"/>
    </row>
    <row r="80" spans="2:17">
      <c r="B80" s="299"/>
      <c r="C80" s="2" t="s">
        <v>379</v>
      </c>
      <c r="E80" s="144">
        <v>92000</v>
      </c>
      <c r="F80" s="327" t="s">
        <v>352</v>
      </c>
      <c r="G80" s="411"/>
      <c r="H80" s="411"/>
      <c r="J80" s="289" t="str">
        <f t="shared" si="12"/>
        <v>Déchets inertes - kilogrammes</v>
      </c>
      <c r="K80" s="292">
        <f t="shared" si="13"/>
        <v>460</v>
      </c>
      <c r="L80" s="292">
        <f t="shared" si="14"/>
        <v>460</v>
      </c>
      <c r="M80" s="292">
        <f t="shared" si="15"/>
        <v>0</v>
      </c>
      <c r="N80" s="2" t="s">
        <v>55</v>
      </c>
      <c r="O80" s="328" t="s">
        <v>923</v>
      </c>
      <c r="Q80" s="12"/>
    </row>
    <row r="81" spans="2:17">
      <c r="B81" s="299"/>
      <c r="C81" s="2" t="s">
        <v>371</v>
      </c>
      <c r="E81" s="144">
        <v>2140</v>
      </c>
      <c r="F81" s="327" t="s">
        <v>352</v>
      </c>
      <c r="G81" s="411"/>
      <c r="H81" s="411"/>
      <c r="J81" s="289" t="str">
        <f t="shared" si="12"/>
        <v>Déchets spéciaux - kilogrammes</v>
      </c>
      <c r="K81" s="292">
        <f t="shared" si="13"/>
        <v>856</v>
      </c>
      <c r="L81" s="292">
        <f t="shared" si="14"/>
        <v>856</v>
      </c>
      <c r="M81" s="292">
        <f t="shared" si="15"/>
        <v>0</v>
      </c>
      <c r="N81" s="2" t="s">
        <v>55</v>
      </c>
      <c r="O81" s="328" t="s">
        <v>923</v>
      </c>
      <c r="Q81" s="12"/>
    </row>
    <row r="82" spans="2:17" ht="16.5" thickBot="1">
      <c r="B82" s="17"/>
      <c r="C82" s="18"/>
      <c r="D82" s="18"/>
      <c r="E82" s="18"/>
      <c r="F82" s="18"/>
      <c r="G82" s="135"/>
      <c r="H82" s="135"/>
      <c r="I82" s="18"/>
      <c r="J82" s="18"/>
      <c r="K82" s="18"/>
      <c r="L82" s="18"/>
      <c r="M82" s="18"/>
      <c r="N82" s="18"/>
      <c r="O82" s="18"/>
      <c r="P82" s="18"/>
      <c r="Q82" s="19"/>
    </row>
    <row r="83" spans="2:17" ht="16.5" thickBot="1"/>
    <row r="84" spans="2:17">
      <c r="B84" s="307" t="s">
        <v>47</v>
      </c>
      <c r="C84" s="4"/>
      <c r="D84" s="4"/>
      <c r="E84" s="282"/>
      <c r="F84" s="4"/>
      <c r="G84" s="406"/>
      <c r="H84" s="406"/>
      <c r="I84" s="4"/>
      <c r="J84" s="4"/>
      <c r="K84" s="4"/>
      <c r="L84" s="4"/>
      <c r="M84" s="4"/>
      <c r="N84" s="4"/>
      <c r="O84" s="4"/>
      <c r="P84" s="363" t="s">
        <v>847</v>
      </c>
      <c r="Q84" s="5"/>
    </row>
    <row r="85" spans="2:17">
      <c r="B85" s="271"/>
      <c r="Q85" s="12"/>
    </row>
    <row r="86" spans="2:17">
      <c r="B86" s="303"/>
      <c r="C86" s="284" t="s">
        <v>73</v>
      </c>
      <c r="D86" s="284"/>
      <c r="E86" s="308"/>
      <c r="F86" s="26"/>
      <c r="G86" s="127"/>
      <c r="H86" s="127"/>
      <c r="I86" s="26"/>
      <c r="J86" s="26"/>
      <c r="K86" s="287">
        <f>SUM(K93:K97)</f>
        <v>2201.9298281356469</v>
      </c>
      <c r="L86" s="287">
        <f>SUM(L93:L97)</f>
        <v>2201.9298281356469</v>
      </c>
      <c r="M86" s="287">
        <f>SUM(M93:M97)</f>
        <v>0</v>
      </c>
      <c r="N86" s="26"/>
      <c r="O86" s="26"/>
      <c r="P86" s="26"/>
      <c r="Q86" s="288"/>
    </row>
    <row r="87" spans="2:17">
      <c r="B87" s="271"/>
      <c r="C87" s="2" t="s">
        <v>77</v>
      </c>
      <c r="E87" s="297">
        <f>VLOOKUP(Numéro_OFS,Données_Commune,6,FALSE)</f>
        <v>0</v>
      </c>
      <c r="F87" s="2" t="s">
        <v>75</v>
      </c>
      <c r="J87" s="2" t="s">
        <v>77</v>
      </c>
      <c r="K87" s="292">
        <f>IFERROR($E87*VLOOKUP($J87,EF_Table,3,FALSE),"Erreur")</f>
        <v>0</v>
      </c>
      <c r="L87" s="292">
        <f>IFERROR($E87*VLOOKUP($J87,EF_Table,4,FALSE),"Erreur")</f>
        <v>0</v>
      </c>
      <c r="M87" s="292">
        <f>IFERROR($E87*VLOOKUP($J87,EF_Table,5,FALSE),"Erreur")</f>
        <v>0</v>
      </c>
      <c r="N87" s="293" t="s">
        <v>55</v>
      </c>
      <c r="O87" s="2" t="s">
        <v>832</v>
      </c>
      <c r="Q87" s="12"/>
    </row>
    <row r="88" spans="2:17">
      <c r="B88" s="271"/>
      <c r="C88" s="2" t="s">
        <v>76</v>
      </c>
      <c r="E88" s="297">
        <f>VLOOKUP(Numéro_OFS,Données_Commune,7,FALSE)</f>
        <v>219.43</v>
      </c>
      <c r="F88" s="2" t="s">
        <v>75</v>
      </c>
      <c r="J88" s="2" t="s">
        <v>76</v>
      </c>
      <c r="K88" s="292">
        <f>IFERROR($E88*VLOOKUP($J88,EF_Table,3,FALSE),"Erreur")</f>
        <v>921536.28213145351</v>
      </c>
      <c r="L88" s="292">
        <f>IFERROR($E88*VLOOKUP($J88,EF_Table,4,FALSE),"Erreur")</f>
        <v>921536.28213145351</v>
      </c>
      <c r="M88" s="292">
        <f>IFERROR($E88*VLOOKUP($J88,EF_Table,5,FALSE),"Erreur")</f>
        <v>0</v>
      </c>
      <c r="N88" s="293" t="s">
        <v>55</v>
      </c>
      <c r="O88" s="2" t="s">
        <v>832</v>
      </c>
      <c r="Q88" s="12"/>
    </row>
    <row r="89" spans="2:17">
      <c r="B89" s="271"/>
      <c r="C89" s="2" t="s">
        <v>74</v>
      </c>
      <c r="E89" s="297">
        <f>VLOOKUP(Numéro_OFS,Données_Commune,8,FALSE)</f>
        <v>13</v>
      </c>
      <c r="F89" s="2" t="s">
        <v>75</v>
      </c>
      <c r="J89" s="2" t="s">
        <v>74</v>
      </c>
      <c r="K89" s="292">
        <f>IFERROR($E89*VLOOKUP($J89,EF_Table,3,FALSE),"Erreur")</f>
        <v>13628.76792464879</v>
      </c>
      <c r="L89" s="292">
        <f>IFERROR($E89*VLOOKUP($J89,EF_Table,4,FALSE),"Erreur")</f>
        <v>13628.76792464879</v>
      </c>
      <c r="M89" s="292">
        <f>IFERROR($E89*VLOOKUP($J89,EF_Table,5,FALSE),"Erreur")</f>
        <v>0</v>
      </c>
      <c r="N89" s="2" t="s">
        <v>55</v>
      </c>
      <c r="O89" s="2" t="s">
        <v>832</v>
      </c>
      <c r="Q89" s="12"/>
    </row>
    <row r="90" spans="2:17">
      <c r="B90" s="271"/>
      <c r="C90" s="2" t="s">
        <v>78</v>
      </c>
      <c r="E90" s="297">
        <f>VLOOKUP(Numéro_OFS,Données_Commune,9,FALSE)</f>
        <v>24</v>
      </c>
      <c r="F90" s="2" t="s">
        <v>75</v>
      </c>
      <c r="J90" s="2" t="s">
        <v>78</v>
      </c>
      <c r="K90" s="292">
        <f>IFERROR($E90*VLOOKUP($J90,EF_Table,3,FALSE),"Erreur")</f>
        <v>11037.762990622965</v>
      </c>
      <c r="L90" s="292">
        <f>IFERROR($E90*VLOOKUP($J90,EF_Table,4,FALSE),"Erreur")</f>
        <v>11037.762990622965</v>
      </c>
      <c r="M90" s="292">
        <f>IFERROR($E90*VLOOKUP($J90,EF_Table,5,FALSE),"Erreur")</f>
        <v>0</v>
      </c>
      <c r="N90" s="293" t="s">
        <v>55</v>
      </c>
      <c r="O90" s="2" t="s">
        <v>832</v>
      </c>
      <c r="Q90" s="12"/>
    </row>
    <row r="91" spans="2:17">
      <c r="B91" s="271"/>
      <c r="C91" s="2" t="s">
        <v>79</v>
      </c>
      <c r="E91" s="297">
        <f>VLOOKUP(Numéro_OFS,Données_Commune,10,FALSE)</f>
        <v>9</v>
      </c>
      <c r="F91" s="2" t="s">
        <v>75</v>
      </c>
      <c r="J91" s="2" t="s">
        <v>79</v>
      </c>
      <c r="K91" s="292">
        <f>IFERROR($E91*VLOOKUP($J91,EF_Table,3,FALSE),"Erreur")</f>
        <v>4607.7194783313325</v>
      </c>
      <c r="L91" s="292">
        <f>IFERROR($E91*VLOOKUP($J91,EF_Table,4,FALSE),"Erreur")</f>
        <v>4607.7194783313325</v>
      </c>
      <c r="M91" s="292">
        <f>IFERROR($E91*VLOOKUP($J91,EF_Table,5,FALSE),"Erreur")</f>
        <v>0</v>
      </c>
      <c r="N91" s="293" t="s">
        <v>55</v>
      </c>
      <c r="O91" s="2" t="s">
        <v>832</v>
      </c>
      <c r="Q91" s="12"/>
    </row>
    <row r="92" spans="2:17">
      <c r="B92" s="271"/>
      <c r="E92" s="309" t="s">
        <v>99</v>
      </c>
      <c r="K92" s="292"/>
      <c r="L92" s="292"/>
      <c r="M92" s="292"/>
      <c r="N92" s="293"/>
      <c r="Q92" s="12"/>
    </row>
    <row r="93" spans="2:17">
      <c r="B93" s="271"/>
      <c r="C93" s="2" t="s">
        <v>77</v>
      </c>
      <c r="E93" s="326">
        <v>10</v>
      </c>
      <c r="F93" s="2" t="s">
        <v>75</v>
      </c>
      <c r="J93" s="2" t="s">
        <v>77</v>
      </c>
      <c r="K93" s="292">
        <f>IFERROR($E93*VLOOKUP($J93,EF_Table,3,FALSE),"Erreur")</f>
        <v>2201.9298281356469</v>
      </c>
      <c r="L93" s="292">
        <f>IFERROR($E93*VLOOKUP($J93,EF_Table,4,FALSE),"Erreur")</f>
        <v>2201.9298281356469</v>
      </c>
      <c r="M93" s="292">
        <f>IFERROR($E93*VLOOKUP($J93,EF_Table,5,FALSE),"Erreur")</f>
        <v>0</v>
      </c>
      <c r="N93" s="293" t="s">
        <v>55</v>
      </c>
      <c r="O93" s="328" t="s">
        <v>911</v>
      </c>
      <c r="Q93" s="12"/>
    </row>
    <row r="94" spans="2:17">
      <c r="B94" s="271"/>
      <c r="C94" s="2" t="s">
        <v>76</v>
      </c>
      <c r="E94" s="326">
        <v>0</v>
      </c>
      <c r="F94" s="2" t="s">
        <v>75</v>
      </c>
      <c r="J94" s="2" t="s">
        <v>76</v>
      </c>
      <c r="K94" s="292">
        <f>IFERROR($E94*VLOOKUP($J94,EF_Table,3,FALSE),"Erreur")</f>
        <v>0</v>
      </c>
      <c r="L94" s="292">
        <f>IFERROR($E94*VLOOKUP($J94,EF_Table,4,FALSE),"Erreur")</f>
        <v>0</v>
      </c>
      <c r="M94" s="292">
        <f>IFERROR($E94*VLOOKUP($J94,EF_Table,5,FALSE),"Erreur")</f>
        <v>0</v>
      </c>
      <c r="N94" s="293" t="s">
        <v>55</v>
      </c>
      <c r="O94" s="328" t="s">
        <v>96</v>
      </c>
      <c r="Q94" s="12"/>
    </row>
    <row r="95" spans="2:17">
      <c r="B95" s="271"/>
      <c r="C95" s="2" t="s">
        <v>74</v>
      </c>
      <c r="E95" s="326">
        <v>0</v>
      </c>
      <c r="F95" s="2" t="s">
        <v>75</v>
      </c>
      <c r="J95" s="2" t="s">
        <v>74</v>
      </c>
      <c r="K95" s="292">
        <f>IFERROR($E95*VLOOKUP($J95,EF_Table,3,FALSE),"Erreur")</f>
        <v>0</v>
      </c>
      <c r="L95" s="292">
        <f>IFERROR($E95*VLOOKUP($J95,EF_Table,4,FALSE),"Erreur")</f>
        <v>0</v>
      </c>
      <c r="M95" s="292">
        <f>IFERROR($E95*VLOOKUP($J95,EF_Table,5,FALSE),"Erreur")</f>
        <v>0</v>
      </c>
      <c r="N95" s="2" t="s">
        <v>55</v>
      </c>
      <c r="O95" s="328" t="s">
        <v>96</v>
      </c>
      <c r="Q95" s="12"/>
    </row>
    <row r="96" spans="2:17">
      <c r="B96" s="271"/>
      <c r="C96" s="2" t="s">
        <v>78</v>
      </c>
      <c r="E96" s="326">
        <v>0</v>
      </c>
      <c r="F96" s="2" t="s">
        <v>75</v>
      </c>
      <c r="J96" s="2" t="s">
        <v>78</v>
      </c>
      <c r="K96" s="292">
        <f>IFERROR($E96*VLOOKUP($J96,EF_Table,3,FALSE),"Erreur")</f>
        <v>0</v>
      </c>
      <c r="L96" s="292">
        <f>IFERROR($E96*VLOOKUP($J96,EF_Table,4,FALSE),"Erreur")</f>
        <v>0</v>
      </c>
      <c r="M96" s="292">
        <f>IFERROR($E96*VLOOKUP($J96,EF_Table,5,FALSE),"Erreur")</f>
        <v>0</v>
      </c>
      <c r="N96" s="293" t="s">
        <v>55</v>
      </c>
      <c r="O96" s="328" t="s">
        <v>96</v>
      </c>
      <c r="Q96" s="12"/>
    </row>
    <row r="97" spans="2:17">
      <c r="B97" s="271"/>
      <c r="C97" s="2" t="s">
        <v>79</v>
      </c>
      <c r="E97" s="326">
        <v>0</v>
      </c>
      <c r="F97" s="2" t="s">
        <v>75</v>
      </c>
      <c r="J97" s="2" t="s">
        <v>79</v>
      </c>
      <c r="K97" s="292">
        <f>IFERROR($E97*VLOOKUP($J97,EF_Table,3,FALSE),"Erreur")</f>
        <v>0</v>
      </c>
      <c r="L97" s="292">
        <f>IFERROR($E97*VLOOKUP($J97,EF_Table,4,FALSE),"Erreur")</f>
        <v>0</v>
      </c>
      <c r="M97" s="292">
        <f>IFERROR($E97*VLOOKUP($J97,EF_Table,5,FALSE),"Erreur")</f>
        <v>0</v>
      </c>
      <c r="N97" s="293" t="s">
        <v>55</v>
      </c>
      <c r="O97" s="328" t="s">
        <v>96</v>
      </c>
      <c r="Q97" s="12"/>
    </row>
    <row r="98" spans="2:17">
      <c r="B98" s="303"/>
      <c r="C98" s="284" t="s">
        <v>357</v>
      </c>
      <c r="D98" s="26"/>
      <c r="E98" s="310"/>
      <c r="F98" s="26"/>
      <c r="G98" s="127"/>
      <c r="H98" s="127"/>
      <c r="I98" s="26"/>
      <c r="J98" s="26"/>
      <c r="K98" s="207">
        <f>SUM(K104:K106)</f>
        <v>-562275.46685980377</v>
      </c>
      <c r="L98" s="207">
        <f>SUM(L104:L106)</f>
        <v>-562275.46685980377</v>
      </c>
      <c r="M98" s="207">
        <f>SUM(M104:M106)</f>
        <v>0</v>
      </c>
      <c r="N98" s="26"/>
      <c r="O98" s="26"/>
      <c r="P98" s="26"/>
      <c r="Q98" s="288"/>
    </row>
    <row r="99" spans="2:17">
      <c r="B99" s="271"/>
      <c r="C99" s="2" t="s">
        <v>80</v>
      </c>
      <c r="E99" s="297">
        <f>VLOOKUP(Numéro_OFS,Données_Commune,4,FALSE)</f>
        <v>148</v>
      </c>
      <c r="F99" s="2" t="s">
        <v>87</v>
      </c>
      <c r="K99" s="292"/>
      <c r="L99" s="292"/>
      <c r="M99" s="292"/>
      <c r="N99" s="293" t="s">
        <v>55</v>
      </c>
      <c r="O99" s="2" t="s">
        <v>831</v>
      </c>
      <c r="Q99" s="12"/>
    </row>
    <row r="100" spans="2:17">
      <c r="B100" s="271"/>
      <c r="C100" s="2" t="s">
        <v>83</v>
      </c>
      <c r="E100" s="297">
        <f>VLOOKUP(Numéro_OFS,Données_Commune,5,FALSE)</f>
        <v>97</v>
      </c>
      <c r="F100" s="2" t="s">
        <v>87</v>
      </c>
      <c r="K100" s="292"/>
      <c r="L100" s="292"/>
      <c r="M100" s="292"/>
      <c r="N100" s="293" t="s">
        <v>55</v>
      </c>
      <c r="O100" s="2" t="s">
        <v>831</v>
      </c>
      <c r="Q100" s="12"/>
    </row>
    <row r="101" spans="2:17">
      <c r="B101" s="271"/>
      <c r="C101" s="298"/>
      <c r="E101" s="309" t="s">
        <v>99</v>
      </c>
      <c r="K101" s="292"/>
      <c r="L101" s="292"/>
      <c r="M101" s="292"/>
      <c r="N101" s="293"/>
      <c r="Q101" s="12"/>
    </row>
    <row r="102" spans="2:17">
      <c r="B102" s="271"/>
      <c r="C102" s="2" t="s">
        <v>80</v>
      </c>
      <c r="E102" s="144">
        <v>0</v>
      </c>
      <c r="F102" s="2" t="s">
        <v>87</v>
      </c>
      <c r="K102" s="292"/>
      <c r="L102" s="292"/>
      <c r="M102" s="292"/>
      <c r="N102" s="2" t="s">
        <v>55</v>
      </c>
      <c r="O102" s="328" t="s">
        <v>96</v>
      </c>
      <c r="Q102" s="12"/>
    </row>
    <row r="103" spans="2:17">
      <c r="B103" s="271"/>
      <c r="C103" s="2" t="s">
        <v>83</v>
      </c>
      <c r="E103" s="144">
        <v>522</v>
      </c>
      <c r="F103" s="2" t="s">
        <v>87</v>
      </c>
      <c r="K103" s="292"/>
      <c r="L103" s="292"/>
      <c r="M103" s="292"/>
      <c r="N103" s="2" t="s">
        <v>55</v>
      </c>
      <c r="O103" s="328" t="s">
        <v>924</v>
      </c>
      <c r="Q103" s="12"/>
    </row>
    <row r="104" spans="2:17" hidden="1">
      <c r="B104" s="271"/>
      <c r="C104" s="2" t="s">
        <v>355</v>
      </c>
      <c r="E104" s="291">
        <f>IF(E102=0,E99,E102)</f>
        <v>148</v>
      </c>
      <c r="F104" s="2" t="s">
        <v>87</v>
      </c>
      <c r="J104" s="2" t="s">
        <v>84</v>
      </c>
      <c r="K104" s="292">
        <f>IFERROR($E104*VLOOKUP($J104,EF_Table,3,FALSE),"Erreur")</f>
        <v>55974.983409647219</v>
      </c>
      <c r="L104" s="292">
        <f>IFERROR($E104*VLOOKUP($J104,EF_Table,4,FALSE),"Erreur")</f>
        <v>55974.983409647219</v>
      </c>
      <c r="M104" s="292">
        <f>IFERROR($E104*VLOOKUP($J104,EF_Table,5,FALSE),"Erreur")</f>
        <v>0</v>
      </c>
      <c r="N104" s="293"/>
      <c r="Q104" s="12"/>
    </row>
    <row r="105" spans="2:17" hidden="1">
      <c r="B105" s="271"/>
      <c r="C105" s="2" t="s">
        <v>85</v>
      </c>
      <c r="E105" s="291">
        <f>IF(E102=0,E99,E102)</f>
        <v>148</v>
      </c>
      <c r="F105" s="2" t="s">
        <v>87</v>
      </c>
      <c r="J105" s="2" t="s">
        <v>86</v>
      </c>
      <c r="K105" s="292">
        <f>IFERROR($E105*VLOOKUP($J105,EF_Table,3,FALSE),"Erreur")</f>
        <v>218004</v>
      </c>
      <c r="L105" s="292">
        <f>IFERROR($E105*VLOOKUP($J105,EF_Table,4,FALSE),"Erreur")</f>
        <v>218004</v>
      </c>
      <c r="M105" s="292">
        <f>IFERROR($E105*VLOOKUP($J105,EF_Table,5,FALSE),"Erreur")</f>
        <v>0</v>
      </c>
      <c r="N105" s="293"/>
      <c r="Q105" s="12"/>
    </row>
    <row r="106" spans="2:17" hidden="1">
      <c r="B106" s="271"/>
      <c r="C106" s="2" t="s">
        <v>356</v>
      </c>
      <c r="E106" s="291">
        <f>IF(E103=0,E100,E103)</f>
        <v>522</v>
      </c>
      <c r="F106" s="2" t="s">
        <v>87</v>
      </c>
      <c r="J106" s="2" t="s">
        <v>82</v>
      </c>
      <c r="K106" s="292">
        <f>IFERROR($E106*VLOOKUP($J106,EF_Table,3,FALSE),"Erreur")</f>
        <v>-836254.45026945102</v>
      </c>
      <c r="L106" s="292">
        <f>IFERROR($E106*VLOOKUP($J106,EF_Table,4,FALSE),"Erreur")</f>
        <v>-836254.45026945102</v>
      </c>
      <c r="M106" s="292">
        <f>IFERROR($E106*VLOOKUP($J106,EF_Table,5,FALSE),"Erreur")</f>
        <v>0</v>
      </c>
      <c r="N106" s="293"/>
      <c r="Q106" s="12"/>
    </row>
    <row r="107" spans="2:17" ht="16.5" thickBot="1">
      <c r="B107" s="17"/>
      <c r="C107" s="18"/>
      <c r="D107" s="18"/>
      <c r="E107" s="18"/>
      <c r="F107" s="18"/>
      <c r="G107" s="135"/>
      <c r="H107" s="135"/>
      <c r="I107" s="18"/>
      <c r="J107" s="18"/>
      <c r="K107" s="18"/>
      <c r="L107" s="18"/>
      <c r="M107" s="18"/>
      <c r="N107" s="18"/>
      <c r="O107" s="18"/>
      <c r="P107" s="18"/>
      <c r="Q107" s="19"/>
    </row>
    <row r="108" spans="2:17" ht="16.5" thickBot="1"/>
    <row r="109" spans="2:17">
      <c r="B109" s="307" t="s">
        <v>750</v>
      </c>
      <c r="C109" s="4"/>
      <c r="D109" s="4"/>
      <c r="E109" s="282"/>
      <c r="F109" s="4"/>
      <c r="G109" s="406"/>
      <c r="H109" s="406"/>
      <c r="I109" s="4"/>
      <c r="J109" s="4"/>
      <c r="K109" s="4"/>
      <c r="L109" s="4"/>
      <c r="M109" s="4"/>
      <c r="N109" s="4"/>
      <c r="O109" s="4"/>
      <c r="P109" s="363" t="s">
        <v>849</v>
      </c>
      <c r="Q109" s="5"/>
    </row>
    <row r="110" spans="2:17">
      <c r="B110" s="271"/>
      <c r="Q110" s="12"/>
    </row>
    <row r="111" spans="2:17">
      <c r="B111" s="311"/>
      <c r="C111" s="284" t="s">
        <v>829</v>
      </c>
      <c r="D111" s="26"/>
      <c r="E111" s="359">
        <f>VLOOKUP(Numéro_OFS,'Données communales'!$B:$P,15,FALSE)/1000</f>
        <v>8.8989999999999991</v>
      </c>
      <c r="F111" s="318" t="s">
        <v>731</v>
      </c>
      <c r="G111" s="412"/>
      <c r="H111" s="412"/>
      <c r="I111" s="318"/>
      <c r="J111" s="318" t="s">
        <v>34</v>
      </c>
      <c r="K111" s="319">
        <f>IFERROR($E111*VLOOKUP($J111,EF_Table,3,FALSE),"Erreur")</f>
        <v>2180255</v>
      </c>
      <c r="L111" s="319">
        <f>IFERROR($E111*VLOOKUP($J111,EF_Table,4,FALSE),"Erreur")</f>
        <v>0</v>
      </c>
      <c r="M111" s="319">
        <f>IFERROR($E111*VLOOKUP($J111,EF_Table,5,FALSE),"Erreur")</f>
        <v>2180255</v>
      </c>
      <c r="N111" s="320" t="s">
        <v>55</v>
      </c>
      <c r="O111" s="321" t="s">
        <v>809</v>
      </c>
      <c r="P111" s="26"/>
      <c r="Q111" s="288"/>
    </row>
    <row r="112" spans="2:17">
      <c r="B112" s="271"/>
      <c r="E112" s="297"/>
      <c r="K112" s="292"/>
      <c r="L112" s="292"/>
      <c r="M112" s="292"/>
      <c r="N112" s="293"/>
      <c r="Q112" s="12"/>
    </row>
    <row r="113" spans="2:17">
      <c r="B113" s="240"/>
      <c r="C113" s="206" t="s">
        <v>882</v>
      </c>
      <c r="D113" s="145"/>
      <c r="E113" s="145"/>
      <c r="F113" s="145"/>
      <c r="G113" s="410"/>
      <c r="H113" s="410"/>
      <c r="I113" s="145"/>
      <c r="J113" s="145"/>
      <c r="K113" s="319">
        <f>SUM(K114:K116)</f>
        <v>196000</v>
      </c>
      <c r="L113" s="319">
        <f>SUM(L114:L116)</f>
        <v>0</v>
      </c>
      <c r="M113" s="319">
        <f>SUM(M114:M116)</f>
        <v>196000</v>
      </c>
      <c r="N113" s="320"/>
      <c r="O113" s="321"/>
      <c r="P113" s="26"/>
      <c r="Q113" s="288"/>
    </row>
    <row r="114" spans="2:17">
      <c r="B114" s="215"/>
      <c r="C114" s="20" t="s">
        <v>145</v>
      </c>
      <c r="E114" s="241">
        <v>200000</v>
      </c>
      <c r="F114" s="20" t="s">
        <v>367</v>
      </c>
      <c r="G114" s="413"/>
      <c r="H114" s="413"/>
      <c r="J114" s="2" t="s">
        <v>34</v>
      </c>
      <c r="K114" s="292">
        <f>IFERROR($E114/1000000*VLOOKUP($J114,EF_Table,3,FALSE),"Erreur")</f>
        <v>49000</v>
      </c>
      <c r="L114" s="292">
        <f>IFERROR($E114/1000000*VLOOKUP($J114,EF_Table,4,FALSE),"Erreur")</f>
        <v>0</v>
      </c>
      <c r="M114" s="292">
        <f>IFERROR($E114/1000000*VLOOKUP($J114,EF_Table,5,FALSE),"Erreur")</f>
        <v>49000</v>
      </c>
      <c r="N114" s="293" t="s">
        <v>55</v>
      </c>
      <c r="O114" s="328" t="s">
        <v>925</v>
      </c>
      <c r="Q114" s="12"/>
    </row>
    <row r="115" spans="2:17">
      <c r="B115" s="215"/>
      <c r="C115" s="20" t="s">
        <v>146</v>
      </c>
      <c r="E115" s="241">
        <v>100000</v>
      </c>
      <c r="F115" s="20" t="s">
        <v>367</v>
      </c>
      <c r="G115" s="413"/>
      <c r="H115" s="413"/>
      <c r="J115" s="2" t="s">
        <v>34</v>
      </c>
      <c r="K115" s="292">
        <f>IFERROR($E115/1000000*VLOOKUP($J115,EF_Table,3,FALSE),"Erreur")</f>
        <v>24500</v>
      </c>
      <c r="L115" s="292">
        <f>IFERROR($E115/1000000*VLOOKUP($J115,EF_Table,4,FALSE),"Erreur")</f>
        <v>0</v>
      </c>
      <c r="M115" s="292">
        <f>IFERROR($E115/1000000*VLOOKUP($J115,EF_Table,5,FALSE),"Erreur")</f>
        <v>24500</v>
      </c>
      <c r="N115" s="293" t="s">
        <v>55</v>
      </c>
      <c r="O115" s="328" t="s">
        <v>925</v>
      </c>
      <c r="Q115" s="12"/>
    </row>
    <row r="116" spans="2:17">
      <c r="B116" s="215"/>
      <c r="C116" s="20" t="s">
        <v>381</v>
      </c>
      <c r="E116" s="241">
        <v>500000</v>
      </c>
      <c r="F116" s="20" t="s">
        <v>367</v>
      </c>
      <c r="G116" s="413"/>
      <c r="H116" s="413"/>
      <c r="J116" s="2" t="s">
        <v>34</v>
      </c>
      <c r="K116" s="292">
        <f>IFERROR($E116/1000000*VLOOKUP($J116,EF_Table,3,FALSE),"Erreur")</f>
        <v>122500</v>
      </c>
      <c r="L116" s="292">
        <f>IFERROR($E116/1000000*VLOOKUP($J116,EF_Table,4,FALSE),"Erreur")</f>
        <v>0</v>
      </c>
      <c r="M116" s="292">
        <f>IFERROR($E116/1000000*VLOOKUP($J116,EF_Table,5,FALSE),"Erreur")</f>
        <v>122500</v>
      </c>
      <c r="N116" s="2" t="s">
        <v>55</v>
      </c>
      <c r="O116" s="328" t="s">
        <v>925</v>
      </c>
      <c r="Q116" s="12"/>
    </row>
    <row r="117" spans="2:17" ht="16.5" thickBot="1">
      <c r="B117" s="322"/>
      <c r="C117" s="323"/>
      <c r="D117" s="18"/>
      <c r="E117" s="324"/>
      <c r="F117" s="18"/>
      <c r="G117" s="135"/>
      <c r="H117" s="135"/>
      <c r="I117" s="18"/>
      <c r="J117" s="323"/>
      <c r="K117" s="325"/>
      <c r="L117" s="325"/>
      <c r="M117" s="325"/>
      <c r="N117" s="323"/>
      <c r="O117" s="323"/>
      <c r="P117" s="18"/>
      <c r="Q117" s="19"/>
    </row>
    <row r="118" spans="2:17" ht="16.5" thickBot="1"/>
    <row r="119" spans="2:17">
      <c r="B119" s="307" t="s">
        <v>31</v>
      </c>
      <c r="C119" s="4"/>
      <c r="D119" s="4"/>
      <c r="E119" s="282"/>
      <c r="F119" s="4"/>
      <c r="G119" s="406"/>
      <c r="H119" s="406"/>
      <c r="I119" s="4"/>
      <c r="J119" s="4"/>
      <c r="K119" s="4"/>
      <c r="L119" s="4"/>
      <c r="M119" s="4"/>
      <c r="N119" s="4"/>
      <c r="O119" s="4"/>
      <c r="P119" s="4"/>
      <c r="Q119" s="5"/>
    </row>
    <row r="120" spans="2:17">
      <c r="B120" s="271"/>
      <c r="Q120" s="12"/>
    </row>
    <row r="121" spans="2:17">
      <c r="B121" s="311"/>
      <c r="C121" s="284" t="s">
        <v>88</v>
      </c>
      <c r="D121" s="26"/>
      <c r="E121" s="312"/>
      <c r="F121" s="26"/>
      <c r="G121" s="127"/>
      <c r="H121" s="127"/>
      <c r="I121" s="26"/>
      <c r="J121" s="26"/>
      <c r="K121" s="287">
        <f>SUM(K122:K128)</f>
        <v>7487698.8772630533</v>
      </c>
      <c r="L121" s="287">
        <f>SUM(L122:L128)</f>
        <v>0</v>
      </c>
      <c r="M121" s="287">
        <f>SUM(M122:M128)</f>
        <v>7487698.8772630533</v>
      </c>
      <c r="N121" s="26"/>
      <c r="O121" s="26"/>
      <c r="P121" s="284" t="s">
        <v>846</v>
      </c>
      <c r="Q121" s="288"/>
    </row>
    <row r="122" spans="2:17">
      <c r="B122" s="313"/>
      <c r="C122" s="314" t="s">
        <v>40</v>
      </c>
      <c r="E122" s="315">
        <f>Consommation!C2</f>
        <v>0.51846053034884199</v>
      </c>
      <c r="F122" s="2" t="s">
        <v>359</v>
      </c>
      <c r="J122" s="314" t="s">
        <v>40</v>
      </c>
      <c r="K122" s="316">
        <f t="shared" ref="K122:K127" si="16">E122*1000*hab_commune</f>
        <v>706143.24233512278</v>
      </c>
      <c r="L122" s="316">
        <v>0</v>
      </c>
      <c r="M122" s="316">
        <f t="shared" ref="M122:M127" si="17">K122</f>
        <v>706143.24233512278</v>
      </c>
      <c r="N122" s="314" t="s">
        <v>89</v>
      </c>
      <c r="O122" s="317" t="s">
        <v>733</v>
      </c>
      <c r="Q122" s="12"/>
    </row>
    <row r="123" spans="2:17">
      <c r="B123" s="313"/>
      <c r="C123" s="314" t="s">
        <v>41</v>
      </c>
      <c r="E123" s="315">
        <f>Consommation!C3</f>
        <v>0.62262077233766133</v>
      </c>
      <c r="F123" s="2" t="s">
        <v>359</v>
      </c>
      <c r="J123" s="314" t="s">
        <v>41</v>
      </c>
      <c r="K123" s="316">
        <f t="shared" si="16"/>
        <v>848009.49192389485</v>
      </c>
      <c r="L123" s="316">
        <v>0</v>
      </c>
      <c r="M123" s="316">
        <f t="shared" si="17"/>
        <v>848009.49192389485</v>
      </c>
      <c r="N123" s="314" t="s">
        <v>89</v>
      </c>
      <c r="O123" s="317" t="s">
        <v>733</v>
      </c>
      <c r="Q123" s="12"/>
    </row>
    <row r="124" spans="2:17">
      <c r="B124" s="313"/>
      <c r="C124" s="314" t="s">
        <v>42</v>
      </c>
      <c r="E124" s="315">
        <f>Consommation!C4</f>
        <v>0.67762674282613888</v>
      </c>
      <c r="F124" s="2" t="s">
        <v>359</v>
      </c>
      <c r="J124" s="314" t="s">
        <v>42</v>
      </c>
      <c r="K124" s="316">
        <f t="shared" si="16"/>
        <v>922927.62372920115</v>
      </c>
      <c r="L124" s="316">
        <v>0</v>
      </c>
      <c r="M124" s="316">
        <f t="shared" si="17"/>
        <v>922927.62372920115</v>
      </c>
      <c r="N124" s="314" t="s">
        <v>89</v>
      </c>
      <c r="O124" s="317" t="s">
        <v>733</v>
      </c>
      <c r="Q124" s="12"/>
    </row>
    <row r="125" spans="2:17">
      <c r="B125" s="271"/>
      <c r="C125" s="2" t="s">
        <v>43</v>
      </c>
      <c r="E125" s="315">
        <f>Consommation!C5</f>
        <v>0.8157268389461465</v>
      </c>
      <c r="F125" s="2" t="s">
        <v>359</v>
      </c>
      <c r="J125" s="2" t="s">
        <v>43</v>
      </c>
      <c r="K125" s="316">
        <f t="shared" si="16"/>
        <v>1111019.9546446514</v>
      </c>
      <c r="L125" s="294">
        <v>0</v>
      </c>
      <c r="M125" s="316">
        <f t="shared" si="17"/>
        <v>1111019.9546446514</v>
      </c>
      <c r="N125" s="314" t="s">
        <v>89</v>
      </c>
      <c r="O125" s="317" t="s">
        <v>733</v>
      </c>
      <c r="Q125" s="12"/>
    </row>
    <row r="126" spans="2:17">
      <c r="B126" s="271"/>
      <c r="C126" s="314" t="s">
        <v>44</v>
      </c>
      <c r="E126" s="315">
        <f>Consommation!C6</f>
        <v>0.56410378245630211</v>
      </c>
      <c r="F126" s="2" t="s">
        <v>359</v>
      </c>
      <c r="J126" s="314" t="s">
        <v>44</v>
      </c>
      <c r="K126" s="316">
        <f t="shared" si="16"/>
        <v>768309.35170548351</v>
      </c>
      <c r="L126" s="316">
        <v>0</v>
      </c>
      <c r="M126" s="316">
        <f t="shared" si="17"/>
        <v>768309.35170548351</v>
      </c>
      <c r="N126" s="314" t="s">
        <v>89</v>
      </c>
      <c r="O126" s="317" t="s">
        <v>733</v>
      </c>
      <c r="Q126" s="12"/>
    </row>
    <row r="127" spans="2:17">
      <c r="B127" s="271"/>
      <c r="C127" s="314" t="s">
        <v>90</v>
      </c>
      <c r="E127" s="315">
        <v>2.1</v>
      </c>
      <c r="F127" s="2" t="s">
        <v>359</v>
      </c>
      <c r="J127" s="314" t="s">
        <v>32</v>
      </c>
      <c r="K127" s="316">
        <f t="shared" si="16"/>
        <v>2860200</v>
      </c>
      <c r="L127" s="316">
        <v>0</v>
      </c>
      <c r="M127" s="316">
        <f t="shared" si="17"/>
        <v>2860200</v>
      </c>
      <c r="N127" s="314" t="s">
        <v>89</v>
      </c>
      <c r="O127" s="317" t="s">
        <v>733</v>
      </c>
      <c r="P127" s="364"/>
      <c r="Q127" s="12"/>
    </row>
    <row r="128" spans="2:17">
      <c r="B128" s="271"/>
      <c r="C128" s="2" t="s">
        <v>45</v>
      </c>
      <c r="E128" s="291">
        <f>Consommation!B12*365*hab_commune</f>
        <v>994260</v>
      </c>
      <c r="F128" s="2" t="s">
        <v>358</v>
      </c>
      <c r="J128" s="2" t="s">
        <v>91</v>
      </c>
      <c r="K128" s="292">
        <f>IFERROR($E128*VLOOKUP($J128,EF_Table,3,FALSE),"Erreur")</f>
        <v>271089.21292470064</v>
      </c>
      <c r="L128" s="292">
        <f>IFERROR($E128*VLOOKUP($J128,EF_Table,4,FALSE),"Erreur")</f>
        <v>0</v>
      </c>
      <c r="M128" s="292">
        <f>IFERROR($E128*VLOOKUP($J128,EF_Table,5,FALSE),"Erreur")</f>
        <v>271089.21292470064</v>
      </c>
      <c r="N128" s="314" t="s">
        <v>89</v>
      </c>
      <c r="O128" s="317" t="s">
        <v>733</v>
      </c>
      <c r="Q128" s="12"/>
    </row>
    <row r="129" spans="2:17" ht="16.5" thickBot="1">
      <c r="B129" s="17"/>
      <c r="C129" s="18"/>
      <c r="D129" s="18"/>
      <c r="E129" s="18"/>
      <c r="F129" s="18"/>
      <c r="G129" s="135"/>
      <c r="H129" s="135"/>
      <c r="I129" s="18"/>
      <c r="J129" s="18"/>
      <c r="K129" s="18"/>
      <c r="L129" s="18"/>
      <c r="M129" s="18"/>
      <c r="N129" s="18"/>
      <c r="O129" s="18"/>
      <c r="P129" s="18"/>
      <c r="Q129" s="19"/>
    </row>
    <row r="130" spans="2:17" ht="16.5" thickBot="1"/>
    <row r="131" spans="2:17">
      <c r="B131" s="307" t="s">
        <v>816</v>
      </c>
      <c r="C131" s="4"/>
      <c r="D131" s="4"/>
      <c r="E131" s="282"/>
      <c r="F131" s="4"/>
      <c r="G131" s="406"/>
      <c r="H131" s="406"/>
      <c r="I131" s="4"/>
      <c r="J131" s="4"/>
      <c r="K131" s="4"/>
      <c r="L131" s="4"/>
      <c r="M131" s="4"/>
      <c r="N131" s="4"/>
      <c r="O131" s="4"/>
      <c r="P131" s="4"/>
      <c r="Q131" s="5"/>
    </row>
    <row r="132" spans="2:17">
      <c r="B132" s="271"/>
      <c r="Q132" s="12"/>
    </row>
    <row r="133" spans="2:17">
      <c r="B133" s="311"/>
      <c r="C133" s="284" t="s">
        <v>730</v>
      </c>
      <c r="D133" s="26"/>
      <c r="E133" s="310">
        <f>0.2*0.8*hab_commune</f>
        <v>217.92000000000004</v>
      </c>
      <c r="F133" s="318" t="s">
        <v>731</v>
      </c>
      <c r="G133" s="412"/>
      <c r="H133" s="412"/>
      <c r="I133" s="318"/>
      <c r="J133" s="318" t="s">
        <v>729</v>
      </c>
      <c r="K133" s="319">
        <f>IFERROR($E133*VLOOKUP($J133,EF_Table,3,FALSE),"Erreur")</f>
        <v>36566976.000000007</v>
      </c>
      <c r="L133" s="319">
        <f>IFERROR($E133*VLOOKUP($J133,EF_Table,4,FALSE),"Erreur")</f>
        <v>0</v>
      </c>
      <c r="M133" s="319">
        <f>IFERROR($E133*VLOOKUP($J133,EF_Table,5,FALSE),"Erreur")</f>
        <v>36566976.000000007</v>
      </c>
      <c r="N133" s="320" t="s">
        <v>89</v>
      </c>
      <c r="O133" s="321" t="s">
        <v>733</v>
      </c>
      <c r="P133" s="26"/>
      <c r="Q133" s="288"/>
    </row>
    <row r="134" spans="2:17" ht="16.5" thickBot="1">
      <c r="B134" s="322"/>
      <c r="C134" s="323"/>
      <c r="D134" s="18"/>
      <c r="E134" s="324"/>
      <c r="F134" s="18"/>
      <c r="G134" s="135"/>
      <c r="H134" s="135"/>
      <c r="I134" s="18"/>
      <c r="J134" s="323"/>
      <c r="K134" s="325"/>
      <c r="L134" s="325"/>
      <c r="M134" s="325"/>
      <c r="N134" s="323"/>
      <c r="O134" s="323"/>
      <c r="P134" s="18"/>
      <c r="Q134" s="19"/>
    </row>
    <row r="135" spans="2:17"/>
    <row r="136" spans="2:17"/>
    <row r="137" spans="2:17"/>
    <row r="138" spans="2:17"/>
    <row r="139" spans="2:17"/>
    <row r="140" spans="2:17"/>
  </sheetData>
  <sheetProtection algorithmName="SHA-512" hashValue="92PdWg4GWJwoZgkxSQEsVVVtw2YI+OZNGwNzFneABpLYKydPNZCfAE686hsZ1jktRyvMfXaoRfAoeCwS3wQJFg==" saltValue="AWt6kYbmkGd8pzRvrZMR6A==" spinCount="100000" sheet="1" selectLockedCells="1"/>
  <mergeCells count="1">
    <mergeCell ref="B3:D3"/>
  </mergeCells>
  <phoneticPr fontId="13" type="noConversion"/>
  <conditionalFormatting sqref="N3">
    <cfRule type="containsText" dxfId="55" priority="231" operator="containsText" text="Communal">
      <formula>NOT(ISERROR(SEARCH("Communal",N3)))</formula>
    </cfRule>
    <cfRule type="containsText" dxfId="54" priority="230" operator="containsText" text="Typologie cantonale">
      <formula>NOT(ISERROR(SEARCH("Typologie cantonale",N3)))</formula>
    </cfRule>
    <cfRule type="containsText" dxfId="53" priority="229" operator="containsText" text="Fédéral">
      <formula>NOT(ISERROR(SEARCH("Fédéral",N3)))</formula>
    </cfRule>
  </conditionalFormatting>
  <conditionalFormatting sqref="N5">
    <cfRule type="containsText" dxfId="52" priority="226" operator="containsText" text="Fédéral">
      <formula>NOT(ISERROR(SEARCH("Fédéral",N5)))</formula>
    </cfRule>
    <cfRule type="containsText" dxfId="51" priority="227" operator="containsText" text="Typologie cantonale">
      <formula>NOT(ISERROR(SEARCH("Typologie cantonale",N5)))</formula>
    </cfRule>
    <cfRule type="containsText" dxfId="50" priority="228" operator="containsText" text="Communal">
      <formula>NOT(ISERROR(SEARCH("Communal",N5)))</formula>
    </cfRule>
  </conditionalFormatting>
  <conditionalFormatting sqref="N7:N15">
    <cfRule type="containsText" dxfId="49" priority="156" operator="containsText" text="Communal">
      <formula>NOT(ISERROR(SEARCH("Communal",N7)))</formula>
    </cfRule>
    <cfRule type="containsText" dxfId="48" priority="155" operator="containsText" text="Typologie cantonale">
      <formula>NOT(ISERROR(SEARCH("Typologie cantonale",N7)))</formula>
    </cfRule>
    <cfRule type="containsText" dxfId="47" priority="154" operator="containsText" text="Fédéral">
      <formula>NOT(ISERROR(SEARCH("Fédéral",N7)))</formula>
    </cfRule>
  </conditionalFormatting>
  <conditionalFormatting sqref="N17:N29">
    <cfRule type="containsText" dxfId="46" priority="117" operator="containsText" text="Communal">
      <formula>NOT(ISERROR(SEARCH("Communal",N17)))</formula>
    </cfRule>
    <cfRule type="containsText" dxfId="45" priority="116" operator="containsText" text="Typologie cantonale">
      <formula>NOT(ISERROR(SEARCH("Typologie cantonale",N17)))</formula>
    </cfRule>
    <cfRule type="containsText" dxfId="44" priority="115" operator="containsText" text="Fédéral">
      <formula>NOT(ISERROR(SEARCH("Fédéral",N17)))</formula>
    </cfRule>
  </conditionalFormatting>
  <conditionalFormatting sqref="N32:N61">
    <cfRule type="containsText" dxfId="43" priority="1" operator="containsText" text="Fédéral">
      <formula>NOT(ISERROR(SEARCH("Fédéral",N32)))</formula>
    </cfRule>
    <cfRule type="containsText" dxfId="42" priority="2" operator="containsText" text="Typologie cantonale">
      <formula>NOT(ISERROR(SEARCH("Typologie cantonale",N32)))</formula>
    </cfRule>
    <cfRule type="containsText" dxfId="41" priority="3" operator="containsText" text="Communal">
      <formula>NOT(ISERROR(SEARCH("Communal",N32)))</formula>
    </cfRule>
  </conditionalFormatting>
  <conditionalFormatting sqref="N64">
    <cfRule type="containsText" dxfId="40" priority="219" operator="containsText" text="Communal">
      <formula>NOT(ISERROR(SEARCH("Communal",N64)))</formula>
    </cfRule>
    <cfRule type="containsText" dxfId="39" priority="218" operator="containsText" text="Typologie cantonale">
      <formula>NOT(ISERROR(SEARCH("Typologie cantonale",N64)))</formula>
    </cfRule>
    <cfRule type="containsText" dxfId="38" priority="217" operator="containsText" text="Fédéral">
      <formula>NOT(ISERROR(SEARCH("Fédéral",N64)))</formula>
    </cfRule>
  </conditionalFormatting>
  <conditionalFormatting sqref="N66:N81">
    <cfRule type="containsText" dxfId="37" priority="76" operator="containsText" text="Fédéral">
      <formula>NOT(ISERROR(SEARCH("Fédéral",N66)))</formula>
    </cfRule>
    <cfRule type="containsText" dxfId="36" priority="77" operator="containsText" text="Typologie cantonale">
      <formula>NOT(ISERROR(SEARCH("Typologie cantonale",N66)))</formula>
    </cfRule>
    <cfRule type="containsText" dxfId="35" priority="78" operator="containsText" text="Communal">
      <formula>NOT(ISERROR(SEARCH("Communal",N66)))</formula>
    </cfRule>
  </conditionalFormatting>
  <conditionalFormatting sqref="N84">
    <cfRule type="containsText" dxfId="34" priority="214" operator="containsText" text="Fédéral">
      <formula>NOT(ISERROR(SEARCH("Fédéral",N84)))</formula>
    </cfRule>
    <cfRule type="containsText" dxfId="33" priority="216" operator="containsText" text="Communal">
      <formula>NOT(ISERROR(SEARCH("Communal",N84)))</formula>
    </cfRule>
    <cfRule type="containsText" dxfId="32" priority="215" operator="containsText" text="Typologie cantonale">
      <formula>NOT(ISERROR(SEARCH("Typologie cantonale",N84)))</formula>
    </cfRule>
  </conditionalFormatting>
  <conditionalFormatting sqref="N86:N106">
    <cfRule type="containsText" dxfId="31" priority="72" operator="containsText" text="Communal">
      <formula>NOT(ISERROR(SEARCH("Communal",N86)))</formula>
    </cfRule>
    <cfRule type="containsText" dxfId="30" priority="70" operator="containsText" text="Fédéral">
      <formula>NOT(ISERROR(SEARCH("Fédéral",N86)))</formula>
    </cfRule>
    <cfRule type="containsText" dxfId="29" priority="71" operator="containsText" text="Typologie cantonale">
      <formula>NOT(ISERROR(SEARCH("Typologie cantonale",N86)))</formula>
    </cfRule>
  </conditionalFormatting>
  <conditionalFormatting sqref="N109">
    <cfRule type="containsText" dxfId="28" priority="40" operator="containsText" text="Fédéral">
      <formula>NOT(ISERROR(SEARCH("Fédéral",N109)))</formula>
    </cfRule>
    <cfRule type="containsText" dxfId="27" priority="42" operator="containsText" text="Communal">
      <formula>NOT(ISERROR(SEARCH("Communal",N109)))</formula>
    </cfRule>
    <cfRule type="containsText" dxfId="26" priority="41" operator="containsText" text="Typologie cantonale">
      <formula>NOT(ISERROR(SEARCH("Typologie cantonale",N109)))</formula>
    </cfRule>
  </conditionalFormatting>
  <conditionalFormatting sqref="N111:N117">
    <cfRule type="containsText" dxfId="25" priority="31" operator="containsText" text="Fédéral">
      <formula>NOT(ISERROR(SEARCH("Fédéral",N111)))</formula>
    </cfRule>
    <cfRule type="containsText" dxfId="24" priority="32" operator="containsText" text="Typologie cantonale">
      <formula>NOT(ISERROR(SEARCH("Typologie cantonale",N111)))</formula>
    </cfRule>
    <cfRule type="containsText" dxfId="23" priority="33" operator="containsText" text="Communal">
      <formula>NOT(ISERROR(SEARCH("Communal",N111)))</formula>
    </cfRule>
  </conditionalFormatting>
  <conditionalFormatting sqref="N119">
    <cfRule type="containsText" dxfId="22" priority="204" operator="containsText" text="Communal">
      <formula>NOT(ISERROR(SEARCH("Communal",N119)))</formula>
    </cfRule>
    <cfRule type="containsText" dxfId="21" priority="203" operator="containsText" text="Typologie cantonale">
      <formula>NOT(ISERROR(SEARCH("Typologie cantonale",N119)))</formula>
    </cfRule>
    <cfRule type="containsText" dxfId="20" priority="202" operator="containsText" text="Fédéral">
      <formula>NOT(ISERROR(SEARCH("Fédéral",N119)))</formula>
    </cfRule>
  </conditionalFormatting>
  <conditionalFormatting sqref="N121:N128">
    <cfRule type="containsText" dxfId="19" priority="142" operator="containsText" text="Fédéral">
      <formula>NOT(ISERROR(SEARCH("Fédéral",N121)))</formula>
    </cfRule>
    <cfRule type="containsText" dxfId="18" priority="143" operator="containsText" text="Typologie cantonale">
      <formula>NOT(ISERROR(SEARCH("Typologie cantonale",N121)))</formula>
    </cfRule>
    <cfRule type="containsText" dxfId="17" priority="144" operator="containsText" text="Communal">
      <formula>NOT(ISERROR(SEARCH("Communal",N121)))</formula>
    </cfRule>
  </conditionalFormatting>
  <conditionalFormatting sqref="N131">
    <cfRule type="containsText" dxfId="16" priority="66" operator="containsText" text="Communal">
      <formula>NOT(ISERROR(SEARCH("Communal",N131)))</formula>
    </cfRule>
    <cfRule type="containsText" dxfId="15" priority="65" operator="containsText" text="Typologie cantonale">
      <formula>NOT(ISERROR(SEARCH("Typologie cantonale",N131)))</formula>
    </cfRule>
    <cfRule type="containsText" dxfId="14" priority="64" operator="containsText" text="Fédéral">
      <formula>NOT(ISERROR(SEARCH("Fédéral",N131)))</formula>
    </cfRule>
  </conditionalFormatting>
  <conditionalFormatting sqref="N133:N134">
    <cfRule type="containsText" dxfId="13" priority="60" operator="containsText" text="Communal">
      <formula>NOT(ISERROR(SEARCH("Communal",N133)))</formula>
    </cfRule>
    <cfRule type="containsText" dxfId="12" priority="59" operator="containsText" text="Typologie cantonale">
      <formula>NOT(ISERROR(SEARCH("Typologie cantonale",N133)))</formula>
    </cfRule>
    <cfRule type="containsText" dxfId="11" priority="58" operator="containsText" text="Fédéral">
      <formula>NOT(ISERROR(SEARCH("Fédéral",N133)))</formula>
    </cfRule>
  </conditionalFormatting>
  <dataValidations count="1">
    <dataValidation type="decimal" errorStyle="warning" operator="greaterThanOrEqual" showInputMessage="1" errorTitle="Format invalide" error="Veuillez entrer un pourcentage" prompt="Veuillez entrer les données à disposition" sqref="E114:E116" xr:uid="{5B9747E9-5C7B-CA4F-A9CA-FD073A2B3DF1}">
      <formula1>0</formula1>
    </dataValidation>
  </dataValidations>
  <pageMargins left="0.7" right="0.7" top="0.75" bottom="0.75" header="0.3" footer="0.3"/>
  <ignoredErrors>
    <ignoredError sqref="E8 E10:E18 E20:E25" unlockedFormula="1"/>
  </ignoredErrors>
  <extLst>
    <ext xmlns:x14="http://schemas.microsoft.com/office/spreadsheetml/2009/9/main" uri="{CCE6A557-97BC-4b89-ADB6-D9C93CAAB3DF}">
      <x14:dataValidations xmlns:xm="http://schemas.microsoft.com/office/excel/2006/main" count="1">
        <x14:dataValidation type="list" allowBlank="1" showInputMessage="1" showErrorMessage="1" xr:uid="{16A17FE2-A2AB-114E-B0D9-727AB41785FF}">
          <x14:formula1>
            <xm:f>Listes!$C$2:$C$3</xm:f>
          </x14:formula1>
          <xm:sqref>F69:F81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B63DB6-BA0F-994F-B6E2-7F7A138CA361}">
  <sheetPr codeName="Sheet4">
    <tabColor theme="8"/>
  </sheetPr>
  <dimension ref="A1:P56"/>
  <sheetViews>
    <sheetView topLeftCell="B4" zoomScale="137" zoomScaleNormal="215" workbookViewId="0">
      <selection activeCell="C27" sqref="C27"/>
    </sheetView>
  </sheetViews>
  <sheetFormatPr baseColWidth="10" defaultColWidth="0" defaultRowHeight="15.75" zeroHeight="1"/>
  <cols>
    <col min="1" max="1" width="2.375" style="118" customWidth="1"/>
    <col min="2" max="2" width="51.625" style="118" customWidth="1"/>
    <col min="3" max="3" width="28.875" style="118" customWidth="1"/>
    <col min="4" max="5" width="20.875" style="118" customWidth="1"/>
    <col min="6" max="6" width="13" style="118" customWidth="1"/>
    <col min="7" max="7" width="20.375" style="118" customWidth="1"/>
    <col min="8" max="8" width="3" style="118" customWidth="1"/>
    <col min="9" max="9" width="40.625" style="118" customWidth="1"/>
    <col min="10" max="10" width="17.875" style="118" customWidth="1"/>
    <col min="11" max="11" width="18.375" style="118" customWidth="1"/>
    <col min="12" max="12" width="16.125" style="118" customWidth="1"/>
    <col min="13" max="13" width="4.5" style="118" customWidth="1"/>
    <col min="14" max="14" width="88" style="118" customWidth="1"/>
    <col min="15" max="15" width="2" style="118" customWidth="1"/>
    <col min="16" max="16" width="10.875" style="118" customWidth="1"/>
    <col min="17" max="18" width="10.875" style="118" hidden="1" customWidth="1"/>
    <col min="19" max="16384" width="10.875" style="118" hidden="1"/>
  </cols>
  <sheetData>
    <row r="1" spans="2:15" s="117" customFormat="1" ht="42" customHeight="1">
      <c r="B1" s="117" t="s">
        <v>39</v>
      </c>
      <c r="C1" s="117" t="str">
        <f>Commune</f>
        <v>Le Vaud</v>
      </c>
    </row>
    <row r="2" spans="2:15"/>
    <row r="3" spans="2:15" ht="16.5" thickBot="1">
      <c r="C3" s="119" t="s">
        <v>23</v>
      </c>
      <c r="D3" s="120" t="s">
        <v>21</v>
      </c>
      <c r="E3" s="121" t="s">
        <v>22</v>
      </c>
    </row>
    <row r="4" spans="2:15" ht="31.5">
      <c r="B4" s="162" t="s">
        <v>24</v>
      </c>
      <c r="C4" s="163" t="s">
        <v>361</v>
      </c>
      <c r="D4" s="163" t="s">
        <v>361</v>
      </c>
      <c r="E4" s="163" t="s">
        <v>361</v>
      </c>
      <c r="F4" s="164" t="s">
        <v>25</v>
      </c>
      <c r="G4" s="163" t="s">
        <v>798</v>
      </c>
      <c r="I4" s="430" t="s">
        <v>147</v>
      </c>
      <c r="J4" s="431"/>
      <c r="K4" s="431"/>
      <c r="L4" s="431"/>
      <c r="M4" s="431"/>
      <c r="N4" s="431"/>
      <c r="O4" s="432"/>
    </row>
    <row r="5" spans="2:15">
      <c r="B5" s="165" t="s">
        <v>269</v>
      </c>
      <c r="C5" s="151">
        <f>SUM(C6:C7)</f>
        <v>2962.0556707265864</v>
      </c>
      <c r="D5" s="151">
        <f>SUM(D6:D7)</f>
        <v>1693.2479276034089</v>
      </c>
      <c r="E5" s="151">
        <f>SUM(E6:E7)</f>
        <v>1268.8120470752372</v>
      </c>
      <c r="F5" s="133">
        <f t="shared" ref="F5:F27" si="0">C5/$C$27</f>
        <v>0.16423686539270069</v>
      </c>
      <c r="G5" s="166">
        <f>IFERROR(C5/hab_commune,0)</f>
        <v>2.1747838992118842</v>
      </c>
      <c r="I5" s="123"/>
      <c r="J5" s="124"/>
      <c r="K5" s="124"/>
      <c r="O5" s="125"/>
    </row>
    <row r="6" spans="2:15">
      <c r="B6" s="167" t="s">
        <v>797</v>
      </c>
      <c r="C6" s="152">
        <f>('Données Territoire'!K7+'Données Territoire'!K17)/1000</f>
        <v>2742.3367570998953</v>
      </c>
      <c r="D6" s="152">
        <f>('Données Territoire'!L7+'Données Territoire'!L17)/1000</f>
        <v>1693.2479276034089</v>
      </c>
      <c r="E6" s="152">
        <f>('Données Territoire'!M7+'Données Territoire'!M17)/1000</f>
        <v>1049.093133448546</v>
      </c>
      <c r="F6" s="168">
        <f t="shared" si="0"/>
        <v>0.15205412824897729</v>
      </c>
      <c r="G6" s="169">
        <f t="shared" ref="G6:G26" si="1">IFERROR(C6/hab_commune,0)</f>
        <v>2.0134631109397176</v>
      </c>
      <c r="I6" s="428" t="s">
        <v>270</v>
      </c>
      <c r="J6" s="259" t="s">
        <v>31</v>
      </c>
      <c r="K6" s="259" t="s">
        <v>360</v>
      </c>
      <c r="L6" s="259" t="s">
        <v>360</v>
      </c>
      <c r="M6" s="127"/>
      <c r="N6" s="127"/>
      <c r="O6" s="128"/>
    </row>
    <row r="7" spans="2:15" ht="18.75">
      <c r="B7" s="167" t="s">
        <v>888</v>
      </c>
      <c r="C7" s="152">
        <f>'Données Territoire'!K27/1000</f>
        <v>219.71891362669106</v>
      </c>
      <c r="D7" s="152">
        <f>'Données Territoire'!L27/1000</f>
        <v>0</v>
      </c>
      <c r="E7" s="152">
        <f>'Données Territoire'!M27/1000</f>
        <v>219.71891362669106</v>
      </c>
      <c r="F7" s="168">
        <f t="shared" si="0"/>
        <v>1.2182737143723392E-2</v>
      </c>
      <c r="G7" s="169">
        <f t="shared" si="1"/>
        <v>0.1613207882721667</v>
      </c>
      <c r="I7" s="428"/>
      <c r="J7" s="259" t="s">
        <v>271</v>
      </c>
      <c r="K7" s="259" t="s">
        <v>362</v>
      </c>
      <c r="L7" s="259" t="s">
        <v>272</v>
      </c>
      <c r="M7" s="127"/>
      <c r="N7" s="127"/>
      <c r="O7" s="128"/>
    </row>
    <row r="8" spans="2:15">
      <c r="B8" s="165" t="s">
        <v>27</v>
      </c>
      <c r="C8" s="151">
        <f>SUM(C9:C10)</f>
        <v>4886.977340088175</v>
      </c>
      <c r="D8" s="151">
        <f>SUM(D9:D10)</f>
        <v>2037.6244697543807</v>
      </c>
      <c r="E8" s="151">
        <f>SUM(E9:E10)</f>
        <v>2849.3528703337956</v>
      </c>
      <c r="F8" s="133">
        <f t="shared" si="0"/>
        <v>0.27096784422838294</v>
      </c>
      <c r="G8" s="170">
        <f t="shared" si="1"/>
        <v>3.5880890896388951</v>
      </c>
      <c r="I8" s="123" t="s">
        <v>70</v>
      </c>
      <c r="J8" s="129">
        <f>SUMIF('Données Territoire'!$C$7:$C$28,'Résultats Territoire'!I8,'Données Territoire'!$E$7:$E$28)</f>
        <v>6362.6341176470578</v>
      </c>
      <c r="K8" s="129">
        <f>SUMIF('Données Territoire'!$C$7:$C$28,'Résultats Territoire'!I8,'Données Territoire'!$K$7:$K$28)/1000</f>
        <v>1956.3827384941173</v>
      </c>
      <c r="L8" s="130">
        <f>K8/$K$17</f>
        <v>0.66048142100388696</v>
      </c>
      <c r="O8" s="125"/>
    </row>
    <row r="9" spans="2:15">
      <c r="B9" s="167" t="s">
        <v>363</v>
      </c>
      <c r="C9" s="152">
        <f>SUM('Données Territoire'!K35:K39,'Données Territoire'!K49:K59)/1000</f>
        <v>3385.0968942881755</v>
      </c>
      <c r="D9" s="152">
        <f>SUM('Données Territoire'!L35:L39,'Données Territoire'!L49:L59)/1000</f>
        <v>2037.6244697543807</v>
      </c>
      <c r="E9" s="152">
        <f>SUM('Données Territoire'!M35:M39,'Données Territoire'!M49:M59)/1000</f>
        <v>1347.4724245337957</v>
      </c>
      <c r="F9" s="168">
        <f t="shared" si="0"/>
        <v>0.18769319849821758</v>
      </c>
      <c r="G9" s="171">
        <f t="shared" si="1"/>
        <v>2.4853868533687042</v>
      </c>
      <c r="I9" s="123" t="s">
        <v>65</v>
      </c>
      <c r="J9" s="129">
        <f>SUMIF('Données Territoire'!$C$7:$C$28,'Résultats Territoire'!I9,'Données Territoire'!$E$7:$E$28)</f>
        <v>0</v>
      </c>
      <c r="K9" s="129">
        <f>SUMIF('Données Territoire'!$C$7:$C$28,'Résultats Territoire'!I9,'Données Territoire'!$K$7:$K$28)/1000</f>
        <v>0</v>
      </c>
      <c r="L9" s="130">
        <f t="shared" ref="L9:L16" si="2">K9/$K$17</f>
        <v>0</v>
      </c>
      <c r="O9" s="125"/>
    </row>
    <row r="10" spans="2:15">
      <c r="B10" s="167" t="s">
        <v>722</v>
      </c>
      <c r="C10" s="152">
        <f>'Données Territoire'!K61/1000</f>
        <v>1501.8804458</v>
      </c>
      <c r="D10" s="152">
        <f>'Données Territoire'!L61/1000</f>
        <v>0</v>
      </c>
      <c r="E10" s="152">
        <f>'Données Territoire'!M61/1000</f>
        <v>1501.8804458</v>
      </c>
      <c r="F10" s="168">
        <f t="shared" si="0"/>
        <v>8.3274645730165395E-2</v>
      </c>
      <c r="G10" s="171">
        <f t="shared" si="1"/>
        <v>1.1027022362701908</v>
      </c>
      <c r="I10" s="123" t="s">
        <v>333</v>
      </c>
      <c r="J10" s="129">
        <f>SUMIF('Données Territoire'!$C$7:$C$28,'Résultats Territoire'!I10,'Données Territoire'!$E$7:$E$28)</f>
        <v>1029.6208156862899</v>
      </c>
      <c r="K10" s="129">
        <f>SUMIF('Données Territoire'!$C$7:$C$28,'Résultats Territoire'!I10,'Données Territoire'!$K$7:$K$28)/1000</f>
        <v>42.224749651294758</v>
      </c>
      <c r="L10" s="130">
        <f t="shared" si="2"/>
        <v>1.4255218113755812E-2</v>
      </c>
      <c r="O10" s="125"/>
    </row>
    <row r="11" spans="2:15">
      <c r="B11" s="165" t="s">
        <v>894</v>
      </c>
      <c r="C11" s="151">
        <f>SUM(C12:C13)</f>
        <v>-68.457175063799994</v>
      </c>
      <c r="D11" s="151">
        <f>SUM(D12:D13)</f>
        <v>-68.457175063799994</v>
      </c>
      <c r="E11" s="151">
        <f>SUM(E12:E13)</f>
        <v>0</v>
      </c>
      <c r="F11" s="133">
        <f t="shared" si="0"/>
        <v>-3.7957395457594266E-3</v>
      </c>
      <c r="G11" s="170">
        <f t="shared" si="1"/>
        <v>-5.0262243071806163E-2</v>
      </c>
      <c r="I11" s="123" t="s">
        <v>68</v>
      </c>
      <c r="J11" s="129">
        <f>SUMIF('Données Territoire'!$C$7:$C$28,'Résultats Territoire'!I11,'Données Territoire'!$E$7:$E$28)</f>
        <v>150.85600000000002</v>
      </c>
      <c r="K11" s="129">
        <f>SUMIF('Données Territoire'!$C$7:$C$28,'Résultats Territoire'!I11,'Données Territoire'!$K$7:$K$28)/1000</f>
        <v>1.74389536</v>
      </c>
      <c r="L11" s="130">
        <f t="shared" si="2"/>
        <v>5.8874496426065688E-4</v>
      </c>
      <c r="O11" s="125"/>
    </row>
    <row r="12" spans="2:15">
      <c r="B12" s="167" t="s">
        <v>93</v>
      </c>
      <c r="C12" s="152">
        <f>'Données Territoire'!K68/1000</f>
        <v>-72.8904850638</v>
      </c>
      <c r="D12" s="152">
        <f>'Données Territoire'!L68/1000</f>
        <v>-72.8904850638</v>
      </c>
      <c r="E12" s="152">
        <f>'Données Territoire'!M68/1000</f>
        <v>0</v>
      </c>
      <c r="F12" s="168">
        <f t="shared" si="0"/>
        <v>-4.0415529330329715E-3</v>
      </c>
      <c r="G12" s="171">
        <f t="shared" si="1"/>
        <v>-5.3517243071806164E-2</v>
      </c>
      <c r="I12" s="123" t="s">
        <v>254</v>
      </c>
      <c r="J12" s="129">
        <f>SUMIF('Données Territoire'!$C$7:$C$28,'Résultats Territoire'!I12,'Données Territoire'!$E$7:$E$28)</f>
        <v>460.77329984859</v>
      </c>
      <c r="K12" s="129">
        <f>SUMIF('Données Territoire'!$C$7:$C$28,'Résultats Territoire'!I12,'Données Territoire'!$K$7:$K$28)/1000</f>
        <v>27.799989090864933</v>
      </c>
      <c r="L12" s="130">
        <f t="shared" si="2"/>
        <v>9.3853702229862723E-3</v>
      </c>
      <c r="O12" s="125"/>
    </row>
    <row r="13" spans="2:15">
      <c r="B13" s="167" t="s">
        <v>28</v>
      </c>
      <c r="C13" s="152">
        <f>'Données Territoire'!K67/1000</f>
        <v>4.4333100000000005</v>
      </c>
      <c r="D13" s="152">
        <f>'Données Territoire'!L67/1000</f>
        <v>4.4333100000000005</v>
      </c>
      <c r="E13" s="152">
        <f>'Données Territoire'!M67/1000</f>
        <v>0</v>
      </c>
      <c r="F13" s="168">
        <f t="shared" si="0"/>
        <v>2.4581338727354483E-4</v>
      </c>
      <c r="G13" s="171">
        <f t="shared" si="1"/>
        <v>3.2550000000000005E-3</v>
      </c>
      <c r="I13" s="123" t="s">
        <v>67</v>
      </c>
      <c r="J13" s="129">
        <f>SUMIF('Données Territoire'!$C$7:$C$28,'Résultats Territoire'!I13,'Données Territoire'!$E$7:$E$28)</f>
        <v>30.357600000000001</v>
      </c>
      <c r="K13" s="129">
        <f>SUMIF('Données Territoire'!$C$7:$C$28,'Résultats Territoire'!I13,'Données Territoire'!$K$7:$K$28)/1000</f>
        <v>5.0181112800000003</v>
      </c>
      <c r="L13" s="130">
        <f t="shared" si="2"/>
        <v>1.6941313188651404E-3</v>
      </c>
      <c r="O13" s="125"/>
    </row>
    <row r="14" spans="2:15">
      <c r="B14" s="165" t="s">
        <v>47</v>
      </c>
      <c r="C14" s="153">
        <f>SUM(C15:C17)</f>
        <v>390.73699549338869</v>
      </c>
      <c r="D14" s="153">
        <f>SUM(D15:D17)</f>
        <v>390.73699549338869</v>
      </c>
      <c r="E14" s="153">
        <f>SUM(E15:E17)</f>
        <v>0</v>
      </c>
      <c r="F14" s="133">
        <f t="shared" si="0"/>
        <v>2.1665163138900208E-2</v>
      </c>
      <c r="G14" s="170">
        <f t="shared" si="1"/>
        <v>0.28688472503185658</v>
      </c>
      <c r="I14" s="280" t="s">
        <v>698</v>
      </c>
      <c r="J14" s="129">
        <f>SUMIF('Données Territoire'!$C$7:$C$28,'Résultats Territoire'!I14,'Données Territoire'!$E$7:$E$28)</f>
        <v>3910.9752501792491</v>
      </c>
      <c r="K14" s="129">
        <f>SUMIF('Données Territoire'!$C$7:$C$28,'Résultats Territoire'!I14,'Données Territoire'!$K$7:$K$28)/1000</f>
        <v>707.88652028244405</v>
      </c>
      <c r="L14" s="130">
        <f t="shared" si="2"/>
        <v>0.23898488042555963</v>
      </c>
      <c r="O14" s="125"/>
    </row>
    <row r="15" spans="2:15">
      <c r="B15" s="167" t="s">
        <v>736</v>
      </c>
      <c r="C15" s="154">
        <f>('Données Territoire'!K104+'Données Territoire'!K106)/1000</f>
        <v>-780.27946685980373</v>
      </c>
      <c r="D15" s="154">
        <f>('Données Territoire'!L104+'Données Territoire'!L106)/1000</f>
        <v>-780.27946685980373</v>
      </c>
      <c r="E15" s="154">
        <f>('Données Territoire'!M104+'Données Territoire'!M106)/1000</f>
        <v>0</v>
      </c>
      <c r="F15" s="168">
        <f t="shared" si="0"/>
        <v>-4.3264093593455906E-2</v>
      </c>
      <c r="G15" s="172">
        <f t="shared" si="1"/>
        <v>-0.57289241325976781</v>
      </c>
      <c r="I15" s="123" t="s">
        <v>337</v>
      </c>
      <c r="J15" s="129">
        <f>SUMIF('Données Territoire'!$C$7:$C$28,'Résultats Territoire'!I15,'Données Territoire'!$E$7:$E$28)</f>
        <v>4.2691764705799997</v>
      </c>
      <c r="K15" s="129">
        <f>SUMIF('Données Territoire'!$C$7:$C$28,'Résultats Territoire'!I15,'Données Territoire'!$K$7:$K$28)/1000</f>
        <v>1.280752941174</v>
      </c>
      <c r="L15" s="130">
        <f t="shared" si="2"/>
        <v>4.3238651921077289E-4</v>
      </c>
      <c r="O15" s="125"/>
    </row>
    <row r="16" spans="2:15">
      <c r="B16" s="167" t="s">
        <v>29</v>
      </c>
      <c r="C16" s="154">
        <f>'Données Territoire'!K105/1000</f>
        <v>218.00399999999999</v>
      </c>
      <c r="D16" s="154">
        <f>'Données Territoire'!L105/1000</f>
        <v>218.00399999999999</v>
      </c>
      <c r="E16" s="154">
        <f>'Données Territoire'!M105/1000</f>
        <v>0</v>
      </c>
      <c r="F16" s="168">
        <f t="shared" si="0"/>
        <v>1.2087650464141208E-2</v>
      </c>
      <c r="G16" s="171">
        <f t="shared" si="1"/>
        <v>0.16006167400881058</v>
      </c>
      <c r="I16" s="123" t="s">
        <v>892</v>
      </c>
      <c r="J16" s="129">
        <f>'Données Territoire'!E27</f>
        <v>1213.9166498712214</v>
      </c>
      <c r="K16" s="129">
        <f>'Données Territoire'!K27/1000</f>
        <v>219.71891362669106</v>
      </c>
      <c r="L16" s="130">
        <f t="shared" si="2"/>
        <v>7.4177847431474653E-2</v>
      </c>
      <c r="O16" s="128"/>
    </row>
    <row r="17" spans="2:15" ht="16.5" thickBot="1">
      <c r="B17" s="167" t="s">
        <v>30</v>
      </c>
      <c r="C17" s="154">
        <f>(IF('Données Territoire'!K93=0,'Données Territoire'!K87,'Données Territoire'!K93)+IF('Données Territoire'!K94=0,'Données Territoire'!K88,'Données Territoire'!K94)+IF('Données Territoire'!K95=0,'Données Territoire'!K89,'Données Territoire'!K95)+IF('Données Territoire'!K96=0,'Données Territoire'!K90,'Données Territoire'!K96)+IF('Données Territoire'!K97=0,'Données Territoire'!K91,'Données Territoire'!K97))/1000</f>
        <v>953.0124623531924</v>
      </c>
      <c r="D17" s="154">
        <f>(IF('Données Territoire'!L93=0,'Données Territoire'!L87,'Données Territoire'!L93)+IF('Données Territoire'!L94=0,'Données Territoire'!L88,'Données Territoire'!L94)+IF('Données Territoire'!L95=0,'Données Territoire'!L89,'Données Territoire'!L95)+IF('Données Territoire'!L96=0,'Données Territoire'!L90,'Données Territoire'!L96)+IF('Données Territoire'!L97=0,'Données Territoire'!L91,'Données Territoire'!L97))/1000</f>
        <v>953.0124623531924</v>
      </c>
      <c r="E17" s="154">
        <f>(IF('Données Territoire'!M93=0,'Données Territoire'!M87,'Données Territoire'!M93)+IF('Données Territoire'!M94=0,'Données Territoire'!M88,'Données Territoire'!M94)+IF('Données Territoire'!M95=0,'Données Territoire'!M89,'Données Territoire'!M95)+IF('Données Territoire'!M96=0,'Données Territoire'!M90,'Données Territoire'!M96)+IF('Données Territoire'!M97=0,'Données Territoire'!M91,'Données Territoire'!M97))/1000</f>
        <v>0</v>
      </c>
      <c r="F17" s="168">
        <f t="shared" si="0"/>
        <v>5.2841606268214908E-2</v>
      </c>
      <c r="G17" s="171">
        <f t="shared" si="1"/>
        <v>0.69971546428281384</v>
      </c>
      <c r="I17" s="131" t="s">
        <v>35</v>
      </c>
      <c r="J17" s="132">
        <f>SUM(J8:J16)</f>
        <v>13163.402909702989</v>
      </c>
      <c r="K17" s="132">
        <f>SUM(K8:K16)</f>
        <v>2962.0556707265864</v>
      </c>
      <c r="L17" s="133">
        <f>SUM(L8:L16)</f>
        <v>0.99999999999999978</v>
      </c>
      <c r="M17" s="127"/>
      <c r="N17" s="127"/>
      <c r="O17" s="136"/>
    </row>
    <row r="18" spans="2:15" ht="16.5" thickBot="1">
      <c r="B18" s="165" t="s">
        <v>750</v>
      </c>
      <c r="C18" s="151">
        <f>'Données Territoire'!K111/1000+'Données Territoire'!K113/1000</f>
        <v>2376.2550000000001</v>
      </c>
      <c r="D18" s="151">
        <f>'Données Territoire'!L111/1000+'Données Territoire'!L113/1000</f>
        <v>0</v>
      </c>
      <c r="E18" s="151">
        <f>'Données Territoire'!M111/1000+'Données Territoire'!M113/1000</f>
        <v>2376.2550000000001</v>
      </c>
      <c r="F18" s="133">
        <f t="shared" si="0"/>
        <v>0.13175602215403329</v>
      </c>
      <c r="G18" s="170">
        <f>IFERROR(C18/hab_commune,0)</f>
        <v>1.7446806167400881</v>
      </c>
      <c r="I18" s="134"/>
      <c r="J18" s="135"/>
      <c r="K18" s="135"/>
      <c r="L18" s="135"/>
      <c r="M18" s="135"/>
      <c r="N18" s="135"/>
      <c r="O18" s="136"/>
    </row>
    <row r="19" spans="2:15" ht="15.95" customHeight="1" thickBot="1">
      <c r="B19" s="165" t="s">
        <v>31</v>
      </c>
      <c r="C19" s="151">
        <f>SUM(C20:C26)</f>
        <v>7487.698877263053</v>
      </c>
      <c r="D19" s="151">
        <f>SUM(D20:D26)</f>
        <v>0</v>
      </c>
      <c r="E19" s="151">
        <f>SUM(E20:E26)</f>
        <v>7487.698877263053</v>
      </c>
      <c r="F19" s="133">
        <f t="shared" si="0"/>
        <v>0.41516984463174234</v>
      </c>
      <c r="G19" s="170">
        <f t="shared" si="1"/>
        <v>5.4975762681813896</v>
      </c>
    </row>
    <row r="20" spans="2:15" ht="15.95" customHeight="1">
      <c r="B20" s="167" t="s">
        <v>40</v>
      </c>
      <c r="C20" s="152">
        <f>'Données Territoire'!K122/1000</f>
        <v>706.14324233512275</v>
      </c>
      <c r="D20" s="152">
        <f>'Données Territoire'!L122/1000</f>
        <v>0</v>
      </c>
      <c r="E20" s="152">
        <f>'Données Territoire'!M122/1000</f>
        <v>706.14324233512275</v>
      </c>
      <c r="F20" s="168">
        <f t="shared" si="0"/>
        <v>3.9153468243529131E-2</v>
      </c>
      <c r="G20" s="171">
        <f t="shared" si="1"/>
        <v>0.51846053034884199</v>
      </c>
      <c r="I20" s="402" t="s">
        <v>861</v>
      </c>
      <c r="J20" s="395"/>
      <c r="K20" s="395"/>
      <c r="L20" s="395"/>
      <c r="M20" s="395"/>
      <c r="N20" s="395"/>
      <c r="O20" s="396"/>
    </row>
    <row r="21" spans="2:15" ht="18.95" customHeight="1">
      <c r="B21" s="167" t="s">
        <v>41</v>
      </c>
      <c r="C21" s="152">
        <f>'Données Territoire'!K123/1000</f>
        <v>848.00949192389487</v>
      </c>
      <c r="D21" s="152">
        <f>'Données Territoire'!L123/1000</f>
        <v>0</v>
      </c>
      <c r="E21" s="152">
        <f>'Données Territoire'!M123/1000</f>
        <v>848.00949192389487</v>
      </c>
      <c r="F21" s="168">
        <f t="shared" si="0"/>
        <v>4.7019514910965024E-2</v>
      </c>
      <c r="G21" s="171">
        <f t="shared" si="1"/>
        <v>0.62262077233766144</v>
      </c>
      <c r="I21" s="397"/>
      <c r="J21" s="398"/>
      <c r="K21" s="398"/>
      <c r="L21" s="398"/>
      <c r="M21" s="398"/>
      <c r="N21" s="398"/>
      <c r="O21" s="399"/>
    </row>
    <row r="22" spans="2:15">
      <c r="B22" s="167" t="s">
        <v>42</v>
      </c>
      <c r="C22" s="152">
        <f>'Données Territoire'!K124/1000</f>
        <v>922.92762372920117</v>
      </c>
      <c r="D22" s="152">
        <f>'Données Territoire'!L124/1000</f>
        <v>0</v>
      </c>
      <c r="E22" s="152">
        <f>'Données Territoire'!M124/1000</f>
        <v>922.92762372920117</v>
      </c>
      <c r="F22" s="168">
        <f t="shared" si="0"/>
        <v>5.1173494611745758E-2</v>
      </c>
      <c r="G22" s="171">
        <f t="shared" si="1"/>
        <v>0.67762674282613888</v>
      </c>
      <c r="I22" s="123"/>
      <c r="O22" s="125"/>
    </row>
    <row r="23" spans="2:15">
      <c r="B23" s="167" t="s">
        <v>43</v>
      </c>
      <c r="C23" s="152">
        <f>'Données Territoire'!K125/1000</f>
        <v>1111.0199546446513</v>
      </c>
      <c r="D23" s="152">
        <f>'Données Territoire'!L125/1000</f>
        <v>0</v>
      </c>
      <c r="E23" s="152">
        <f>'Données Territoire'!M125/1000</f>
        <v>1111.0199546446513</v>
      </c>
      <c r="F23" s="168">
        <f t="shared" si="0"/>
        <v>6.1602635137110166E-2</v>
      </c>
      <c r="G23" s="171">
        <f t="shared" si="1"/>
        <v>0.81572683894614628</v>
      </c>
      <c r="I23" s="428" t="s">
        <v>327</v>
      </c>
      <c r="J23" s="259" t="s">
        <v>360</v>
      </c>
      <c r="K23" s="259" t="s">
        <v>360</v>
      </c>
      <c r="L23" s="433" t="s">
        <v>328</v>
      </c>
      <c r="M23" s="259"/>
      <c r="N23" s="259"/>
      <c r="O23" s="137"/>
    </row>
    <row r="24" spans="2:15" ht="18.75">
      <c r="B24" s="167" t="s">
        <v>44</v>
      </c>
      <c r="C24" s="152">
        <f>'Données Territoire'!K126/1000</f>
        <v>768.30935170548355</v>
      </c>
      <c r="D24" s="152">
        <f>'Données Territoire'!L126/1000</f>
        <v>0</v>
      </c>
      <c r="E24" s="152">
        <f>'Données Territoire'!M126/1000</f>
        <v>768.30935170548355</v>
      </c>
      <c r="F24" s="168">
        <f t="shared" si="0"/>
        <v>4.2600387569708902E-2</v>
      </c>
      <c r="G24" s="171">
        <f t="shared" si="1"/>
        <v>0.56410378245630222</v>
      </c>
      <c r="I24" s="428"/>
      <c r="J24" s="259" t="s">
        <v>362</v>
      </c>
      <c r="K24" s="259" t="s">
        <v>272</v>
      </c>
      <c r="L24" s="433"/>
      <c r="M24" s="259"/>
      <c r="N24" s="259"/>
      <c r="O24" s="137"/>
    </row>
    <row r="25" spans="2:15">
      <c r="B25" s="167" t="s">
        <v>32</v>
      </c>
      <c r="C25" s="152">
        <f>'Données Territoire'!K127/1000</f>
        <v>2860.2</v>
      </c>
      <c r="D25" s="152">
        <f>'Données Territoire'!L127/1000</f>
        <v>0</v>
      </c>
      <c r="E25" s="152">
        <f>'Données Territoire'!M127/1000</f>
        <v>2860.2</v>
      </c>
      <c r="F25" s="168">
        <f t="shared" si="0"/>
        <v>0.15858928211196438</v>
      </c>
      <c r="G25" s="171">
        <f t="shared" si="1"/>
        <v>2.0999999999999996</v>
      </c>
      <c r="I25" s="123" t="s">
        <v>138</v>
      </c>
      <c r="J25" s="129">
        <f>('Données Territoire'!K35+'Données Territoire'!K49+'Données Territoire'!K55)/1000</f>
        <v>3263.0775533881756</v>
      </c>
      <c r="K25" s="138">
        <f t="shared" ref="K25:K30" si="3">J25/$J$31</f>
        <v>0.66770875457533851</v>
      </c>
      <c r="L25" s="129">
        <f>'Données Territoire'!E35+'Données Territoire'!E49+'Données Territoire'!E55</f>
        <v>19156122.899999999</v>
      </c>
      <c r="O25" s="125"/>
    </row>
    <row r="26" spans="2:15">
      <c r="B26" s="167" t="s">
        <v>33</v>
      </c>
      <c r="C26" s="152">
        <f>'Données Territoire'!K128/1000</f>
        <v>271.08921292470063</v>
      </c>
      <c r="D26" s="152">
        <f>'Données Territoire'!L128/1000</f>
        <v>0</v>
      </c>
      <c r="E26" s="152">
        <f>'Données Territoire'!M128/1000</f>
        <v>271.08921292470063</v>
      </c>
      <c r="F26" s="168">
        <f t="shared" si="0"/>
        <v>1.5031062046719017E-2</v>
      </c>
      <c r="G26" s="171">
        <f t="shared" si="1"/>
        <v>0.19903760126630002</v>
      </c>
      <c r="I26" s="123" t="s">
        <v>320</v>
      </c>
      <c r="J26" s="129">
        <f>('Données Territoire'!K36+'Données Territoire'!K50+'Données Territoire'!K56)/1000</f>
        <v>57.906827000000014</v>
      </c>
      <c r="K26" s="138">
        <f t="shared" si="3"/>
        <v>1.1849211275236896E-2</v>
      </c>
      <c r="L26" s="129">
        <f>'Données Territoire'!E36+'Données Territoire'!E50+'Données Territoire'!E56</f>
        <v>526425.70000000007</v>
      </c>
      <c r="O26" s="125"/>
    </row>
    <row r="27" spans="2:15">
      <c r="B27" s="165" t="s">
        <v>35</v>
      </c>
      <c r="C27" s="155">
        <f>C5+C8+C11+C14+C19+C18</f>
        <v>18035.266708507403</v>
      </c>
      <c r="D27" s="156">
        <f>D5+D8+D11+D14+D19+D18</f>
        <v>4053.1522177873785</v>
      </c>
      <c r="E27" s="157">
        <f>E5+E8+E11+E14+E19+E18</f>
        <v>13982.118794672086</v>
      </c>
      <c r="F27" s="173">
        <f t="shared" si="0"/>
        <v>1</v>
      </c>
      <c r="G27" s="174">
        <f>IFERROR(C27/hab_commune,0)</f>
        <v>13.241752355732308</v>
      </c>
      <c r="I27" s="123" t="s">
        <v>61</v>
      </c>
      <c r="J27" s="129">
        <f>('Données Territoire'!K37+'Données Territoire'!K51+'Données Territoire'!K57)/1000</f>
        <v>20.939111999999998</v>
      </c>
      <c r="K27" s="138">
        <f t="shared" si="3"/>
        <v>4.2846754840124134E-3</v>
      </c>
      <c r="L27" s="129">
        <f>'Données Territoire'!E37+'Données Territoire'!E51+'Données Territoire'!E57</f>
        <v>2326568</v>
      </c>
      <c r="O27" s="125"/>
    </row>
    <row r="28" spans="2:15" ht="21.95" customHeight="1">
      <c r="B28" s="175" t="s">
        <v>732</v>
      </c>
      <c r="C28" s="176">
        <f>'Données Territoire'!K133/1000</f>
        <v>36566.97600000001</v>
      </c>
      <c r="D28" s="176">
        <f>'Données Territoire'!L133/1000</f>
        <v>0</v>
      </c>
      <c r="E28" s="176">
        <f>'Données Territoire'!M133/1000</f>
        <v>36566.97600000001</v>
      </c>
      <c r="F28" s="177"/>
      <c r="G28" s="178">
        <f>IFERROR(C28/hab_commune,0)</f>
        <v>26.848000000000006</v>
      </c>
      <c r="I28" s="123" t="s">
        <v>114</v>
      </c>
      <c r="J28" s="129">
        <f>('Données Territoire'!K38+'Données Territoire'!K52+'Données Territoire'!K58)/1000</f>
        <v>36.092224999999999</v>
      </c>
      <c r="K28" s="138">
        <f t="shared" si="3"/>
        <v>7.3853882447813424E-3</v>
      </c>
      <c r="L28" s="129">
        <f>'Données Territoire'!E38+'Données Territoire'!E52+'Données Territoire'!E58</f>
        <v>721844.5</v>
      </c>
      <c r="O28" s="125"/>
    </row>
    <row r="29" spans="2:15" ht="21.95" customHeight="1">
      <c r="B29" s="427" t="s">
        <v>844</v>
      </c>
      <c r="C29" s="427"/>
      <c r="D29" s="427"/>
      <c r="E29" s="427"/>
      <c r="F29" s="427"/>
      <c r="G29" s="427"/>
      <c r="I29" s="123" t="s">
        <v>63</v>
      </c>
      <c r="J29" s="129">
        <f>('Données Territoire'!K39+'Données Territoire'!K53+'Données Territoire'!K59)/1000</f>
        <v>7.0811769</v>
      </c>
      <c r="K29" s="138">
        <f t="shared" si="3"/>
        <v>1.4489891004635261E-3</v>
      </c>
      <c r="L29" s="129">
        <f>'Données Territoire'!E39+'Données Territoire'!E53+'Données Territoire'!E59</f>
        <v>1011596.7</v>
      </c>
      <c r="O29" s="125"/>
    </row>
    <row r="30" spans="2:15">
      <c r="B30" s="426"/>
      <c r="C30" s="426"/>
      <c r="D30" s="426"/>
      <c r="E30" s="426"/>
      <c r="F30" s="426"/>
      <c r="G30" s="426"/>
      <c r="I30" s="123" t="s">
        <v>101</v>
      </c>
      <c r="J30" s="129">
        <f>C10</f>
        <v>1501.8804458</v>
      </c>
      <c r="K30" s="138">
        <f t="shared" si="3"/>
        <v>0.3073229813201675</v>
      </c>
      <c r="L30" s="129">
        <f>'Données Territoire'!E61</f>
        <v>6919832.5</v>
      </c>
      <c r="O30" s="125"/>
    </row>
    <row r="31" spans="2:15">
      <c r="B31" s="426"/>
      <c r="C31" s="426"/>
      <c r="D31" s="426"/>
      <c r="E31" s="426"/>
      <c r="F31" s="426"/>
      <c r="G31" s="426"/>
      <c r="I31" s="131" t="s">
        <v>35</v>
      </c>
      <c r="J31" s="132">
        <f>SUM(J25:J30)</f>
        <v>4886.977340088175</v>
      </c>
      <c r="K31" s="133">
        <f>SUM(K25:K30)</f>
        <v>1.0000000000000002</v>
      </c>
      <c r="L31" s="132">
        <f>SUM(L25:L30)</f>
        <v>30662390.299999997</v>
      </c>
      <c r="M31" s="127"/>
      <c r="N31" s="127"/>
      <c r="O31" s="128"/>
    </row>
    <row r="32" spans="2:15" ht="47.1" customHeight="1" thickBot="1">
      <c r="B32" s="426"/>
      <c r="C32" s="426"/>
      <c r="D32" s="426"/>
      <c r="E32" s="426"/>
      <c r="F32" s="426"/>
      <c r="G32" s="426"/>
      <c r="I32" s="134"/>
      <c r="J32" s="135"/>
      <c r="K32" s="135"/>
      <c r="L32" s="135"/>
      <c r="M32" s="135"/>
      <c r="N32" s="135"/>
      <c r="O32" s="136"/>
    </row>
    <row r="33" spans="2:15" ht="15.95" customHeight="1" thickBot="1"/>
    <row r="34" spans="2:15" ht="15.95" customHeight="1">
      <c r="I34" s="402" t="s">
        <v>380</v>
      </c>
      <c r="J34" s="395"/>
      <c r="K34" s="395"/>
      <c r="L34" s="395"/>
      <c r="M34" s="395"/>
      <c r="N34" s="395"/>
      <c r="O34" s="396"/>
    </row>
    <row r="35" spans="2:15" ht="18.95" customHeight="1">
      <c r="I35" s="397"/>
      <c r="J35" s="398"/>
      <c r="K35" s="398"/>
      <c r="L35" s="398"/>
      <c r="M35" s="398"/>
      <c r="N35" s="398"/>
      <c r="O35" s="399"/>
    </row>
    <row r="36" spans="2:15">
      <c r="I36" s="123"/>
      <c r="O36" s="125"/>
    </row>
    <row r="37" spans="2:15">
      <c r="I37" s="428"/>
      <c r="J37" s="429" t="s">
        <v>720</v>
      </c>
      <c r="K37" s="259" t="s">
        <v>360</v>
      </c>
      <c r="L37" s="259"/>
      <c r="M37" s="259"/>
      <c r="N37" s="259"/>
      <c r="O37" s="137"/>
    </row>
    <row r="38" spans="2:15" ht="18.75">
      <c r="I38" s="428"/>
      <c r="J38" s="429"/>
      <c r="K38" s="259" t="s">
        <v>362</v>
      </c>
      <c r="L38" s="259"/>
      <c r="M38" s="259"/>
      <c r="N38" s="259"/>
      <c r="O38" s="137"/>
    </row>
    <row r="39" spans="2:15">
      <c r="I39" s="123" t="s">
        <v>260</v>
      </c>
      <c r="J39" s="159">
        <f>IF('Données Territoire'!F69=Listes!$C$2,'Données Territoire'!E69/1000,'Données Territoire'!E69)</f>
        <v>217.42</v>
      </c>
      <c r="K39" s="158">
        <f>'Données Territoire'!K69/1000</f>
        <v>113.58238219999998</v>
      </c>
      <c r="L39" s="138"/>
      <c r="O39" s="125"/>
    </row>
    <row r="40" spans="2:15">
      <c r="I40" s="123" t="s">
        <v>377</v>
      </c>
      <c r="J40" s="159">
        <f>IF('Données Territoire'!F70=Listes!$C$2,'Données Territoire'!E70/1000,'Données Territoire'!E70)</f>
        <v>230</v>
      </c>
      <c r="K40" s="158">
        <f>'Données Territoire'!K70/1000</f>
        <v>11.247</v>
      </c>
      <c r="L40" s="138"/>
      <c r="O40" s="125"/>
    </row>
    <row r="41" spans="2:15">
      <c r="I41" s="123" t="s">
        <v>376</v>
      </c>
      <c r="J41" s="159">
        <f>IF('Données Territoire'!F71=Listes!$C$2,'Données Territoire'!E71/1000,'Données Territoire'!E71)</f>
        <v>0</v>
      </c>
      <c r="K41" s="158">
        <f>'Données Territoire'!K71/1000</f>
        <v>0</v>
      </c>
      <c r="L41" s="138"/>
      <c r="O41" s="125"/>
    </row>
    <row r="42" spans="2:15">
      <c r="I42" s="123" t="s">
        <v>261</v>
      </c>
      <c r="J42" s="159">
        <f>IF('Données Territoire'!F72=Listes!$C$2,'Données Territoire'!E72/1000,'Données Territoire'!E72)</f>
        <v>95</v>
      </c>
      <c r="K42" s="158">
        <f>'Données Territoire'!K72/1000</f>
        <v>-79.930992649999993</v>
      </c>
      <c r="L42" s="138"/>
      <c r="O42" s="125"/>
    </row>
    <row r="43" spans="2:15">
      <c r="I43" s="123" t="s">
        <v>372</v>
      </c>
      <c r="J43" s="159">
        <f>IF('Données Territoire'!F73=Listes!$C$2,'Données Territoire'!E73/1000,'Données Territoire'!E73)</f>
        <v>0</v>
      </c>
      <c r="K43" s="158">
        <f>'Données Territoire'!K73/1000</f>
        <v>0</v>
      </c>
      <c r="L43" s="138"/>
      <c r="O43" s="125"/>
    </row>
    <row r="44" spans="2:15">
      <c r="I44" s="123" t="s">
        <v>265</v>
      </c>
      <c r="J44" s="159">
        <f>IF('Données Territoire'!F74=Listes!$C$2,'Données Territoire'!E74/1000,'Données Territoire'!E74)</f>
        <v>28</v>
      </c>
      <c r="K44" s="158">
        <f>'Données Territoire'!K74/1000</f>
        <v>-65.962173199999995</v>
      </c>
      <c r="L44" s="138"/>
      <c r="O44" s="125"/>
    </row>
    <row r="45" spans="2:15">
      <c r="I45" s="123" t="s">
        <v>262</v>
      </c>
      <c r="J45" s="159">
        <f>IF('Données Territoire'!F75=Listes!$C$2,'Données Territoire'!E75/1000,'Données Territoire'!E75)</f>
        <v>70.010000000000005</v>
      </c>
      <c r="K45" s="158">
        <f>'Données Territoire'!K75/1000</f>
        <v>-44.612148853800001</v>
      </c>
      <c r="L45" s="138"/>
      <c r="O45" s="125"/>
    </row>
    <row r="46" spans="2:15">
      <c r="I46" s="123" t="s">
        <v>263</v>
      </c>
      <c r="J46" s="159">
        <f>IF('Données Territoire'!F76=Listes!$C$2,'Données Territoire'!E76/1000,'Données Territoire'!E76)</f>
        <v>4</v>
      </c>
      <c r="K46" s="158">
        <f>'Données Territoire'!K76/1000</f>
        <v>-9.8224268000000006</v>
      </c>
      <c r="L46" s="138"/>
      <c r="O46" s="125"/>
    </row>
    <row r="47" spans="2:15">
      <c r="B47" s="360"/>
      <c r="C47" s="360"/>
      <c r="D47" s="360"/>
      <c r="E47" s="360"/>
      <c r="F47" s="360"/>
      <c r="G47" s="360"/>
      <c r="I47" s="123" t="s">
        <v>378</v>
      </c>
      <c r="J47" s="159">
        <f>IF('Données Territoire'!F77=Listes!$C$2,'Données Territoire'!E77/1000,'Données Territoire'!E77)</f>
        <v>2</v>
      </c>
      <c r="K47" s="158">
        <f>'Données Territoire'!K77/1000</f>
        <v>-1</v>
      </c>
      <c r="L47" s="138"/>
      <c r="O47" s="125"/>
    </row>
    <row r="48" spans="2:15">
      <c r="B48" s="360" t="s">
        <v>900</v>
      </c>
      <c r="C48" s="360" t="s">
        <v>21</v>
      </c>
      <c r="D48" s="360" t="s">
        <v>22</v>
      </c>
      <c r="E48" s="360" t="s">
        <v>35</v>
      </c>
      <c r="F48" s="360"/>
      <c r="G48" s="360"/>
      <c r="I48" s="123" t="s">
        <v>375</v>
      </c>
      <c r="J48" s="159">
        <f>IF('Données Territoire'!F78=Listes!$C$2,'Données Territoire'!E78/1000,'Données Territoire'!E78)</f>
        <v>100</v>
      </c>
      <c r="K48" s="158">
        <f>'Données Territoire'!K78/1000</f>
        <v>0.92227423999999991</v>
      </c>
      <c r="L48" s="138"/>
      <c r="O48" s="125"/>
    </row>
    <row r="49" spans="2:15">
      <c r="B49" s="360" t="s">
        <v>885</v>
      </c>
      <c r="C49" s="374">
        <v>5.5</v>
      </c>
      <c r="D49" s="374">
        <f>E49-C49</f>
        <v>9.5</v>
      </c>
      <c r="E49" s="361">
        <v>15</v>
      </c>
      <c r="F49" s="360"/>
      <c r="G49" s="360"/>
      <c r="I49" s="123" t="s">
        <v>721</v>
      </c>
      <c r="J49" s="159">
        <f>IF('Données Territoire'!F79=Listes!$C$2,'Données Territoire'!E79/1000,'Données Territoire'!E79)</f>
        <v>4.28</v>
      </c>
      <c r="K49" s="158">
        <f>'Données Territoire'!K79/1000</f>
        <v>1.3696000000000002</v>
      </c>
      <c r="L49" s="138"/>
      <c r="O49" s="125"/>
    </row>
    <row r="50" spans="2:15">
      <c r="B50" s="360" t="str">
        <f>_xlfn.CONCAT(Commune," - ",Année)</f>
        <v>Le Vaud - 2019</v>
      </c>
      <c r="C50" s="374">
        <f>D27/hab_commune</f>
        <v>2.9758826856001312</v>
      </c>
      <c r="D50" s="374">
        <f>E27/hab_commune</f>
        <v>10.265872830155716</v>
      </c>
      <c r="E50" s="361">
        <f>G27</f>
        <v>13.241752355732308</v>
      </c>
      <c r="F50" s="360"/>
      <c r="G50" s="360"/>
      <c r="I50" s="123" t="s">
        <v>379</v>
      </c>
      <c r="J50" s="159">
        <f>IF('Données Territoire'!F80=Listes!$C$2,'Données Territoire'!E80/1000,'Données Territoire'!E80)</f>
        <v>92</v>
      </c>
      <c r="K50" s="158">
        <f>'Données Territoire'!K80/1000</f>
        <v>0.46</v>
      </c>
      <c r="L50" s="138"/>
      <c r="O50" s="125"/>
    </row>
    <row r="51" spans="2:15">
      <c r="B51" s="360" t="s">
        <v>799</v>
      </c>
      <c r="C51" s="361">
        <f>C50*0.5</f>
        <v>1.4879413428000656</v>
      </c>
      <c r="D51" s="361">
        <f>D50*0.5</f>
        <v>5.1329364150778582</v>
      </c>
      <c r="E51" s="361">
        <f>E50/2</f>
        <v>6.6208761778661538</v>
      </c>
      <c r="F51" s="360"/>
      <c r="G51" s="360"/>
      <c r="I51" s="123" t="s">
        <v>371</v>
      </c>
      <c r="J51" s="159">
        <f>IF('Données Territoire'!F81=Listes!$C$2,'Données Territoire'!E81/1000,'Données Territoire'!E81)</f>
        <v>2.14</v>
      </c>
      <c r="K51" s="158">
        <f>'Données Territoire'!K81/1000</f>
        <v>0.85599999999999998</v>
      </c>
      <c r="L51" s="138"/>
      <c r="O51" s="125"/>
    </row>
    <row r="52" spans="2:15">
      <c r="B52" s="360" t="s">
        <v>886</v>
      </c>
      <c r="C52" s="361">
        <v>0</v>
      </c>
      <c r="D52" s="361">
        <v>1.5</v>
      </c>
      <c r="E52" s="361">
        <f>1.5</f>
        <v>1.5</v>
      </c>
      <c r="F52" s="360"/>
      <c r="G52" s="360"/>
      <c r="I52" s="131" t="s">
        <v>35</v>
      </c>
      <c r="J52" s="160">
        <f>SUM(J39:J51)</f>
        <v>844.84999999999991</v>
      </c>
      <c r="K52" s="132">
        <f>SUM(K39:K51)</f>
        <v>-72.890485063800014</v>
      </c>
      <c r="L52" s="133"/>
      <c r="M52" s="127"/>
      <c r="N52" s="127"/>
      <c r="O52" s="128"/>
    </row>
    <row r="53" spans="2:15" ht="16.5" thickBot="1">
      <c r="B53" s="360"/>
      <c r="C53" s="360"/>
      <c r="D53" s="360"/>
      <c r="E53" s="360"/>
      <c r="F53" s="360"/>
      <c r="G53" s="360"/>
      <c r="I53" s="134"/>
      <c r="J53" s="135"/>
      <c r="K53" s="135"/>
      <c r="L53" s="135"/>
      <c r="M53" s="135"/>
      <c r="N53" s="135"/>
      <c r="O53" s="136"/>
    </row>
    <row r="54" spans="2:15">
      <c r="B54" s="360"/>
      <c r="C54" s="360"/>
      <c r="D54" s="360"/>
      <c r="E54" s="360"/>
      <c r="F54" s="360"/>
      <c r="G54" s="360"/>
    </row>
    <row r="55" spans="2:15" ht="168" customHeight="1">
      <c r="B55" s="360"/>
      <c r="C55" s="360"/>
      <c r="D55" s="360"/>
      <c r="E55" s="360"/>
      <c r="F55" s="360"/>
      <c r="G55" s="360"/>
      <c r="N55" s="118" t="s">
        <v>893</v>
      </c>
    </row>
    <row r="56" spans="2:15" ht="63.95" customHeight="1">
      <c r="B56" s="426" t="s">
        <v>901</v>
      </c>
      <c r="C56" s="426"/>
      <c r="D56" s="426"/>
      <c r="E56" s="426"/>
      <c r="F56" s="426"/>
      <c r="G56" s="426"/>
    </row>
  </sheetData>
  <sheetProtection algorithmName="SHA-512" hashValue="Yi7Zwd5GqtOKysZuIABEYENmfmeLCQ+vegtuP1JJmwECfylJfU68WNqmdWB5C0t6Ppi9AH7IwAAF1kX4Nx148Q==" saltValue="ruPToul3RhabYdMBDaojRA==" spinCount="100000" sheet="1" scenarios="1"/>
  <mergeCells count="8">
    <mergeCell ref="B56:G56"/>
    <mergeCell ref="B29:G32"/>
    <mergeCell ref="I37:I38"/>
    <mergeCell ref="J37:J38"/>
    <mergeCell ref="I4:O4"/>
    <mergeCell ref="I6:I7"/>
    <mergeCell ref="I23:I24"/>
    <mergeCell ref="L23:L24"/>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CC7955-636A-EF41-B15C-033C909D4AFA}">
  <sheetPr codeName="Sheet5">
    <tabColor theme="8"/>
  </sheetPr>
  <dimension ref="A1:CT20"/>
  <sheetViews>
    <sheetView topLeftCell="D1" zoomScale="111" zoomScaleNormal="80" workbookViewId="0">
      <pane ySplit="3" topLeftCell="A9" activePane="bottomLeft" state="frozen"/>
      <selection pane="bottomLeft" activeCell="D8" sqref="D8"/>
    </sheetView>
  </sheetViews>
  <sheetFormatPr baseColWidth="10" defaultColWidth="0" defaultRowHeight="15.75" zeroHeight="1"/>
  <cols>
    <col min="1" max="1" width="5.5" customWidth="1"/>
    <col min="2" max="2" width="31.125" customWidth="1"/>
    <col min="3" max="3" width="27.125" customWidth="1"/>
    <col min="4" max="4" width="21.625" customWidth="1"/>
    <col min="5" max="5" width="24.625" customWidth="1"/>
    <col min="6" max="6" width="84" customWidth="1"/>
    <col min="7" max="7" width="20" bestFit="1" customWidth="1"/>
    <col min="8" max="8" width="20" customWidth="1"/>
    <col min="9" max="9" width="23" customWidth="1"/>
    <col min="10" max="10" width="6.5" customWidth="1"/>
    <col min="11" max="11" width="10.875" customWidth="1"/>
    <col min="12" max="98" width="0" hidden="1" customWidth="1"/>
    <col min="99" max="16384" width="10.875" hidden="1"/>
  </cols>
  <sheetData>
    <row r="1" spans="1:97" s="179" customFormat="1" ht="39.950000000000003" customHeight="1">
      <c r="A1" s="21" t="s">
        <v>818</v>
      </c>
      <c r="B1" s="357"/>
      <c r="C1" s="357"/>
      <c r="D1" s="21"/>
      <c r="E1" s="358"/>
      <c r="F1" s="358"/>
      <c r="G1" s="21"/>
      <c r="H1" s="21"/>
      <c r="I1" s="21"/>
      <c r="J1" s="21"/>
      <c r="K1" s="21"/>
    </row>
    <row r="2" spans="1:97" s="2" customFormat="1" ht="16.5" thickBot="1"/>
    <row r="3" spans="1:97" s="20" customFormat="1" ht="16.5" thickBot="1">
      <c r="A3" s="180"/>
      <c r="B3" s="146" t="s">
        <v>24</v>
      </c>
      <c r="C3" s="147" t="s">
        <v>737</v>
      </c>
      <c r="D3" s="147" t="s">
        <v>53</v>
      </c>
      <c r="E3" s="147" t="s">
        <v>738</v>
      </c>
      <c r="F3" s="147" t="s">
        <v>739</v>
      </c>
      <c r="G3" s="147" t="s">
        <v>740</v>
      </c>
      <c r="H3" s="147" t="s">
        <v>804</v>
      </c>
      <c r="I3" s="147" t="s">
        <v>52</v>
      </c>
      <c r="J3" s="25"/>
      <c r="L3" s="180"/>
      <c r="M3" s="180"/>
      <c r="N3" s="180"/>
      <c r="O3" s="180"/>
      <c r="P3" s="180"/>
      <c r="Q3" s="180"/>
      <c r="R3" s="180"/>
      <c r="S3" s="180"/>
      <c r="T3" s="180"/>
      <c r="U3" s="180"/>
      <c r="V3" s="180"/>
      <c r="W3" s="180"/>
      <c r="X3" s="180"/>
      <c r="Y3" s="180"/>
      <c r="Z3" s="180"/>
      <c r="AA3" s="180"/>
      <c r="AB3" s="180"/>
      <c r="AC3" s="180"/>
      <c r="AD3" s="180"/>
      <c r="AE3" s="180"/>
      <c r="AF3" s="180"/>
      <c r="AG3" s="180"/>
      <c r="AH3" s="180"/>
      <c r="AI3" s="180"/>
      <c r="AJ3" s="180"/>
      <c r="AK3" s="180"/>
      <c r="AL3" s="180"/>
      <c r="AM3" s="180"/>
      <c r="AN3" s="180"/>
      <c r="AO3" s="180"/>
      <c r="AP3" s="180"/>
      <c r="AQ3" s="180"/>
      <c r="AR3" s="180"/>
      <c r="AS3" s="180"/>
      <c r="AT3" s="180"/>
      <c r="AU3" s="180"/>
      <c r="AV3" s="180"/>
      <c r="AW3" s="180"/>
      <c r="AX3" s="180"/>
      <c r="AY3" s="180"/>
      <c r="AZ3" s="180"/>
      <c r="BA3" s="180"/>
      <c r="BB3" s="180"/>
      <c r="BC3" s="180"/>
      <c r="BD3" s="180"/>
      <c r="BE3" s="180"/>
      <c r="BF3" s="180"/>
      <c r="BG3" s="180"/>
      <c r="BH3" s="180"/>
      <c r="BI3" s="180"/>
      <c r="BJ3" s="180"/>
      <c r="BK3" s="180"/>
      <c r="BL3" s="180"/>
      <c r="BM3" s="180"/>
      <c r="BN3" s="180"/>
      <c r="BO3" s="180"/>
      <c r="BP3" s="180"/>
      <c r="BQ3" s="180"/>
      <c r="BR3" s="180"/>
      <c r="BS3" s="180"/>
      <c r="BT3" s="180"/>
      <c r="BU3" s="180"/>
      <c r="BV3" s="180"/>
      <c r="BW3" s="180"/>
      <c r="BX3" s="180"/>
      <c r="BY3" s="180"/>
      <c r="BZ3" s="180"/>
      <c r="CA3" s="180"/>
      <c r="CB3" s="180"/>
      <c r="CC3" s="180"/>
      <c r="CD3" s="180"/>
      <c r="CE3" s="180"/>
      <c r="CF3" s="180"/>
      <c r="CG3" s="180"/>
      <c r="CH3" s="180"/>
      <c r="CI3" s="180"/>
      <c r="CJ3" s="180"/>
      <c r="CK3" s="180"/>
      <c r="CL3" s="180"/>
      <c r="CM3" s="180"/>
      <c r="CN3" s="180"/>
      <c r="CO3" s="180"/>
      <c r="CP3" s="180"/>
      <c r="CQ3" s="180"/>
      <c r="CR3" s="180"/>
      <c r="CS3" s="180"/>
    </row>
    <row r="4" spans="1:97" s="2" customFormat="1" ht="16.5" thickBot="1"/>
    <row r="5" spans="1:97" ht="20.100000000000001" customHeight="1">
      <c r="A5" s="2"/>
      <c r="B5" s="436" t="s">
        <v>741</v>
      </c>
      <c r="C5" s="437"/>
      <c r="D5" s="437"/>
      <c r="E5" s="437"/>
      <c r="F5" s="437"/>
      <c r="G5" s="437"/>
      <c r="H5" s="437"/>
      <c r="I5" s="437"/>
      <c r="J5" s="438"/>
      <c r="K5" s="2"/>
    </row>
    <row r="6" spans="1:97" ht="78.75">
      <c r="A6" s="2"/>
      <c r="B6" s="440" t="s">
        <v>374</v>
      </c>
      <c r="C6" s="183" t="s">
        <v>797</v>
      </c>
      <c r="D6" s="182" t="s">
        <v>902</v>
      </c>
      <c r="E6" s="183" t="s">
        <v>802</v>
      </c>
      <c r="F6" s="183" t="s">
        <v>903</v>
      </c>
      <c r="G6" s="184" t="s">
        <v>745</v>
      </c>
      <c r="H6" s="184" t="s">
        <v>803</v>
      </c>
      <c r="I6" s="182" t="s">
        <v>55</v>
      </c>
      <c r="J6" s="185"/>
      <c r="K6" s="2"/>
    </row>
    <row r="7" spans="1:97" ht="78.75">
      <c r="A7" s="2"/>
      <c r="B7" s="441"/>
      <c r="C7" s="183" t="s">
        <v>26</v>
      </c>
      <c r="D7" s="182" t="s">
        <v>902</v>
      </c>
      <c r="E7" s="183" t="s">
        <v>806</v>
      </c>
      <c r="F7" s="183" t="s">
        <v>904</v>
      </c>
      <c r="G7" s="184" t="s">
        <v>743</v>
      </c>
      <c r="H7" s="184" t="s">
        <v>803</v>
      </c>
      <c r="I7" s="182" t="s">
        <v>55</v>
      </c>
      <c r="J7" s="185"/>
      <c r="K7" s="2"/>
    </row>
    <row r="8" spans="1:97" ht="171" customHeight="1">
      <c r="A8" s="2"/>
      <c r="B8" s="434" t="s">
        <v>817</v>
      </c>
      <c r="C8" s="186" t="s">
        <v>817</v>
      </c>
      <c r="D8" s="186" t="s">
        <v>321</v>
      </c>
      <c r="E8" s="186" t="s">
        <v>744</v>
      </c>
      <c r="F8" s="186" t="s">
        <v>876</v>
      </c>
      <c r="G8" s="188" t="s">
        <v>745</v>
      </c>
      <c r="H8" s="188" t="s">
        <v>805</v>
      </c>
      <c r="I8" s="187" t="s">
        <v>56</v>
      </c>
      <c r="J8" s="189"/>
      <c r="K8" s="2"/>
    </row>
    <row r="9" spans="1:97" ht="173.25">
      <c r="A9" s="2"/>
      <c r="B9" s="435"/>
      <c r="C9" s="186" t="s">
        <v>746</v>
      </c>
      <c r="D9" s="186" t="s">
        <v>807</v>
      </c>
      <c r="E9" s="186" t="s">
        <v>744</v>
      </c>
      <c r="F9" s="186" t="s">
        <v>863</v>
      </c>
      <c r="G9" s="190" t="s">
        <v>747</v>
      </c>
      <c r="H9" s="190" t="s">
        <v>803</v>
      </c>
      <c r="I9" s="186" t="s">
        <v>890</v>
      </c>
      <c r="J9" s="189"/>
      <c r="K9" s="2"/>
    </row>
    <row r="10" spans="1:97" ht="94.5">
      <c r="A10" s="2"/>
      <c r="B10" s="439"/>
      <c r="C10" s="191" t="s">
        <v>748</v>
      </c>
      <c r="D10" s="186" t="s">
        <v>321</v>
      </c>
      <c r="E10" s="186" t="s">
        <v>749</v>
      </c>
      <c r="F10" s="186" t="s">
        <v>862</v>
      </c>
      <c r="G10" s="188" t="s">
        <v>745</v>
      </c>
      <c r="H10" s="188" t="s">
        <v>805</v>
      </c>
      <c r="I10" s="187" t="s">
        <v>56</v>
      </c>
      <c r="J10" s="189"/>
      <c r="K10" s="2"/>
    </row>
    <row r="11" spans="1:97" ht="78.75">
      <c r="A11" s="2"/>
      <c r="B11" s="440" t="s">
        <v>54</v>
      </c>
      <c r="C11" s="197" t="s">
        <v>28</v>
      </c>
      <c r="D11" s="182" t="s">
        <v>810</v>
      </c>
      <c r="E11" s="183" t="s">
        <v>757</v>
      </c>
      <c r="F11" s="183" t="s">
        <v>811</v>
      </c>
      <c r="G11" s="184" t="s">
        <v>743</v>
      </c>
      <c r="H11" s="184" t="s">
        <v>803</v>
      </c>
      <c r="I11" s="182" t="s">
        <v>55</v>
      </c>
      <c r="J11" s="185"/>
      <c r="K11" s="2"/>
    </row>
    <row r="12" spans="1:97" ht="60">
      <c r="A12" s="2"/>
      <c r="B12" s="441"/>
      <c r="C12" s="197" t="s">
        <v>93</v>
      </c>
      <c r="D12" s="182"/>
      <c r="E12" s="183" t="s">
        <v>758</v>
      </c>
      <c r="F12" s="198" t="s">
        <v>812</v>
      </c>
      <c r="G12" s="184" t="s">
        <v>743</v>
      </c>
      <c r="H12" s="184" t="s">
        <v>803</v>
      </c>
      <c r="I12" s="182" t="s">
        <v>55</v>
      </c>
      <c r="J12" s="185"/>
      <c r="K12" s="2"/>
    </row>
    <row r="13" spans="1:97" ht="63">
      <c r="A13" s="2"/>
      <c r="B13" s="434" t="s">
        <v>223</v>
      </c>
      <c r="C13" s="186" t="s">
        <v>752</v>
      </c>
      <c r="D13" s="187" t="s">
        <v>813</v>
      </c>
      <c r="E13" s="186" t="s">
        <v>753</v>
      </c>
      <c r="F13" s="186" t="s">
        <v>754</v>
      </c>
      <c r="G13" s="188" t="s">
        <v>745</v>
      </c>
      <c r="H13" s="188" t="s">
        <v>805</v>
      </c>
      <c r="I13" s="187" t="s">
        <v>55</v>
      </c>
      <c r="J13" s="189"/>
      <c r="K13" s="2"/>
    </row>
    <row r="14" spans="1:97" ht="126">
      <c r="A14" s="2"/>
      <c r="B14" s="439"/>
      <c r="C14" s="193" t="s">
        <v>755</v>
      </c>
      <c r="D14" s="193" t="s">
        <v>814</v>
      </c>
      <c r="E14" s="193" t="s">
        <v>756</v>
      </c>
      <c r="F14" s="193" t="s">
        <v>815</v>
      </c>
      <c r="G14" s="195" t="s">
        <v>743</v>
      </c>
      <c r="H14" s="195" t="s">
        <v>805</v>
      </c>
      <c r="I14" s="194" t="s">
        <v>55</v>
      </c>
      <c r="J14" s="196"/>
      <c r="K14" s="2"/>
    </row>
    <row r="15" spans="1:97" ht="78.75">
      <c r="A15" s="2"/>
      <c r="B15" s="181" t="s">
        <v>750</v>
      </c>
      <c r="C15" s="183" t="s">
        <v>808</v>
      </c>
      <c r="D15" s="182" t="s">
        <v>809</v>
      </c>
      <c r="E15" s="183" t="s">
        <v>751</v>
      </c>
      <c r="F15" s="192" t="s">
        <v>830</v>
      </c>
      <c r="G15" s="184" t="s">
        <v>745</v>
      </c>
      <c r="H15" s="184" t="s">
        <v>803</v>
      </c>
      <c r="I15" s="182" t="s">
        <v>55</v>
      </c>
      <c r="J15" s="185"/>
      <c r="K15" s="2"/>
    </row>
    <row r="16" spans="1:97" ht="78.75">
      <c r="A16" s="2"/>
      <c r="B16" s="434" t="s">
        <v>759</v>
      </c>
      <c r="C16" s="199" t="s">
        <v>760</v>
      </c>
      <c r="D16" s="194" t="s">
        <v>761</v>
      </c>
      <c r="E16" s="193" t="s">
        <v>762</v>
      </c>
      <c r="F16" s="193" t="s">
        <v>763</v>
      </c>
      <c r="G16" s="200" t="s">
        <v>747</v>
      </c>
      <c r="H16" s="200" t="s">
        <v>805</v>
      </c>
      <c r="I16" s="194" t="s">
        <v>89</v>
      </c>
      <c r="J16" s="196"/>
      <c r="K16" s="2"/>
    </row>
    <row r="17" spans="1:11" ht="157.5">
      <c r="A17" s="2"/>
      <c r="B17" s="435"/>
      <c r="C17" s="201" t="s">
        <v>32</v>
      </c>
      <c r="D17" s="187" t="s">
        <v>764</v>
      </c>
      <c r="E17" s="186" t="s">
        <v>762</v>
      </c>
      <c r="F17" s="186" t="s">
        <v>765</v>
      </c>
      <c r="G17" s="190" t="s">
        <v>747</v>
      </c>
      <c r="H17" s="190" t="s">
        <v>805</v>
      </c>
      <c r="I17" s="187" t="s">
        <v>89</v>
      </c>
      <c r="J17" s="189"/>
      <c r="K17" s="2"/>
    </row>
    <row r="18" spans="1:11" ht="126">
      <c r="A18" s="2"/>
      <c r="B18" s="435"/>
      <c r="C18" s="344" t="s">
        <v>45</v>
      </c>
      <c r="D18" s="145" t="s">
        <v>178</v>
      </c>
      <c r="E18" s="344" t="s">
        <v>766</v>
      </c>
      <c r="F18" s="344" t="s">
        <v>864</v>
      </c>
      <c r="G18" s="345" t="s">
        <v>747</v>
      </c>
      <c r="H18" s="345" t="s">
        <v>805</v>
      </c>
      <c r="I18" s="145" t="s">
        <v>89</v>
      </c>
      <c r="J18" s="97"/>
      <c r="K18" s="2"/>
    </row>
    <row r="19" spans="1:11" ht="142.5" thickBot="1">
      <c r="A19" s="2"/>
      <c r="B19" s="346" t="s">
        <v>816</v>
      </c>
      <c r="C19" s="347" t="s">
        <v>819</v>
      </c>
      <c r="D19" s="348" t="s">
        <v>820</v>
      </c>
      <c r="E19" s="347"/>
      <c r="F19" s="347" t="s">
        <v>865</v>
      </c>
      <c r="G19" s="349" t="s">
        <v>747</v>
      </c>
      <c r="H19" s="349" t="s">
        <v>805</v>
      </c>
      <c r="I19" s="348" t="s">
        <v>89</v>
      </c>
      <c r="J19" s="350"/>
      <c r="K19" s="2"/>
    </row>
    <row r="20" spans="1:11" s="2" customFormat="1"/>
  </sheetData>
  <sheetProtection algorithmName="SHA-512" hashValue="5bvu2XIZB1McAd4e5jsywiLqszOOU3evkK1hHouYqT+fb4LatMMrGlHA5ZMbH3LAgCB7clQ99FG522PQq50jcA==" saltValue="MHSWzMiqPicvHxXavKauQQ==" spinCount="100000" sheet="1" objects="1" scenarios="1" selectLockedCells="1"/>
  <mergeCells count="6">
    <mergeCell ref="B16:B18"/>
    <mergeCell ref="B5:J5"/>
    <mergeCell ref="B8:B10"/>
    <mergeCell ref="B13:B14"/>
    <mergeCell ref="B11:B12"/>
    <mergeCell ref="B6:B7"/>
  </mergeCells>
  <conditionalFormatting sqref="I6:I12">
    <cfRule type="containsText" dxfId="10" priority="1" operator="containsText" text="Fédéral">
      <formula>NOT(ISERROR(SEARCH("Fédéral",I6)))</formula>
    </cfRule>
    <cfRule type="containsText" dxfId="9" priority="2" operator="containsText" text="Typologie cantonale">
      <formula>NOT(ISERROR(SEARCH("Typologie cantonale",I6)))</formula>
    </cfRule>
    <cfRule type="containsText" dxfId="8" priority="3" operator="containsText" text="Communal">
      <formula>NOT(ISERROR(SEARCH("Communal",I6)))</formula>
    </cfRule>
  </conditionalFormatting>
  <conditionalFormatting sqref="I11:I19">
    <cfRule type="containsText" dxfId="7" priority="4" operator="containsText" text="Fédéral">
      <formula>NOT(ISERROR(SEARCH("Fédéral",I11)))</formula>
    </cfRule>
    <cfRule type="containsText" dxfId="6" priority="5" operator="containsText" text="Typologie cantonale">
      <formula>NOT(ISERROR(SEARCH("Typologie cantonale",I11)))</formula>
    </cfRule>
    <cfRule type="containsText" dxfId="5" priority="6" operator="containsText" text="Communal">
      <formula>NOT(ISERROR(SEARCH("Communal",I11)))</formula>
    </cfRule>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1AD89A-976A-0740-83F2-22B9DD656D27}">
  <sheetPr codeName="Sheet6">
    <tabColor theme="9"/>
  </sheetPr>
  <dimension ref="A1:Z110"/>
  <sheetViews>
    <sheetView zoomScale="85" zoomScaleNormal="80" workbookViewId="0">
      <pane ySplit="3" topLeftCell="A4" activePane="bottomLeft" state="frozen"/>
      <selection pane="bottomLeft" activeCell="G82" sqref="G82"/>
    </sheetView>
  </sheetViews>
  <sheetFormatPr baseColWidth="10" defaultColWidth="0" defaultRowHeight="15.75" zeroHeight="1"/>
  <cols>
    <col min="1" max="1" width="3" style="20" customWidth="1"/>
    <col min="2" max="2" width="6.125" style="20" customWidth="1"/>
    <col min="3" max="4" width="10.875" style="20" customWidth="1"/>
    <col min="5" max="5" width="15.5" style="20" customWidth="1"/>
    <col min="6" max="6" width="12.375" style="20" customWidth="1"/>
    <col min="7" max="7" width="25.875" style="20" customWidth="1"/>
    <col min="8" max="8" width="40.375" style="20" customWidth="1"/>
    <col min="9" max="9" width="41.375" style="20" customWidth="1"/>
    <col min="10" max="10" width="25.875" style="20" customWidth="1"/>
    <col min="11" max="13" width="25.875" style="20" hidden="1" customWidth="1"/>
    <col min="14" max="14" width="20.625" style="20" customWidth="1"/>
    <col min="15" max="15" width="43.375" style="20" customWidth="1"/>
    <col min="16" max="16" width="42.625" style="20" customWidth="1"/>
    <col min="17" max="17" width="35.875" style="20" customWidth="1"/>
    <col min="18" max="18" width="5" style="20" customWidth="1"/>
    <col min="19" max="19" width="10.875" style="20" customWidth="1"/>
    <col min="20" max="26" width="0" style="20" hidden="1" customWidth="1"/>
    <col min="27" max="16384" width="10.875" style="20" hidden="1"/>
  </cols>
  <sheetData>
    <row r="1" spans="2:18" s="21" customFormat="1" ht="42" customHeight="1">
      <c r="B1" s="21" t="s">
        <v>19</v>
      </c>
      <c r="G1" s="21" t="str">
        <f>Commune</f>
        <v>Le Vaud</v>
      </c>
    </row>
    <row r="2" spans="2:18" ht="16.5" thickBot="1"/>
    <row r="3" spans="2:18" ht="32.25" thickBot="1">
      <c r="B3" s="424" t="s">
        <v>24</v>
      </c>
      <c r="C3" s="425"/>
      <c r="D3" s="425"/>
      <c r="E3" s="425"/>
      <c r="F3" s="425"/>
      <c r="G3" s="147" t="s">
        <v>48</v>
      </c>
      <c r="H3" s="147" t="s">
        <v>49</v>
      </c>
      <c r="I3" s="147" t="s">
        <v>788</v>
      </c>
      <c r="J3" s="147" t="s">
        <v>51</v>
      </c>
      <c r="K3" s="139" t="s">
        <v>266</v>
      </c>
      <c r="L3" s="139" t="s">
        <v>267</v>
      </c>
      <c r="M3" s="139" t="s">
        <v>268</v>
      </c>
      <c r="N3" s="147" t="s">
        <v>52</v>
      </c>
      <c r="O3" s="147" t="s">
        <v>53</v>
      </c>
      <c r="P3" s="147" t="s">
        <v>791</v>
      </c>
      <c r="Q3" s="147" t="s">
        <v>369</v>
      </c>
      <c r="R3" s="25"/>
    </row>
    <row r="4" spans="2:18" ht="16.5" thickBot="1">
      <c r="B4" s="140"/>
      <c r="C4" s="140"/>
      <c r="D4" s="140"/>
      <c r="E4" s="140"/>
      <c r="F4" s="140"/>
      <c r="G4" s="140"/>
      <c r="H4" s="140"/>
      <c r="I4" s="140"/>
      <c r="J4" s="140"/>
      <c r="K4" s="140"/>
      <c r="L4" s="140"/>
      <c r="M4" s="140"/>
      <c r="N4" s="140"/>
      <c r="O4" s="140"/>
      <c r="P4" s="140"/>
      <c r="Q4" s="140"/>
      <c r="R4" s="140"/>
    </row>
    <row r="5" spans="2:18">
      <c r="B5" s="3" t="s">
        <v>148</v>
      </c>
      <c r="C5" s="209"/>
      <c r="D5" s="209"/>
      <c r="E5" s="209"/>
      <c r="F5" s="209"/>
      <c r="G5" s="209"/>
      <c r="H5" s="209"/>
      <c r="I5" s="209"/>
      <c r="J5" s="209"/>
      <c r="K5" s="209"/>
      <c r="L5" s="209"/>
      <c r="M5" s="209"/>
      <c r="N5" s="209"/>
      <c r="O5" s="209"/>
      <c r="P5" s="209"/>
      <c r="Q5" s="209"/>
      <c r="R5" s="210"/>
    </row>
    <row r="6" spans="2:18">
      <c r="B6" s="211"/>
      <c r="C6" s="212" t="s">
        <v>95</v>
      </c>
      <c r="D6" s="213"/>
      <c r="E6" s="213"/>
      <c r="F6" s="213"/>
      <c r="G6" s="213"/>
      <c r="H6" s="213"/>
      <c r="I6" s="213"/>
      <c r="J6" s="213"/>
      <c r="K6" s="213"/>
      <c r="L6" s="213"/>
      <c r="M6" s="213"/>
      <c r="N6" s="213"/>
      <c r="O6" s="213"/>
      <c r="P6" s="213"/>
      <c r="Q6" s="213"/>
      <c r="R6" s="214"/>
    </row>
    <row r="7" spans="2:18" ht="47.25">
      <c r="B7" s="205"/>
      <c r="C7" s="206" t="s">
        <v>780</v>
      </c>
      <c r="D7" s="145"/>
      <c r="E7" s="145"/>
      <c r="F7" s="145"/>
      <c r="G7" s="145"/>
      <c r="H7" s="145"/>
      <c r="I7" s="145"/>
      <c r="J7" s="145"/>
      <c r="K7" s="145"/>
      <c r="L7" s="145"/>
      <c r="M7" s="145"/>
      <c r="N7" s="145"/>
      <c r="O7" s="145"/>
      <c r="P7" s="145"/>
      <c r="Q7" s="365" t="s">
        <v>873</v>
      </c>
      <c r="R7" s="97"/>
    </row>
    <row r="8" spans="2:18">
      <c r="B8" s="215"/>
      <c r="D8" s="216" t="s">
        <v>797</v>
      </c>
      <c r="K8" s="217">
        <f>SUM(K9:K14)</f>
        <v>80997.182604222806</v>
      </c>
      <c r="L8" s="217">
        <f>SUM(L9:L14)</f>
        <v>64663.686644999987</v>
      </c>
      <c r="M8" s="217">
        <f>SUM(M9:M14)</f>
        <v>14872.389013781878</v>
      </c>
      <c r="Q8" s="366"/>
      <c r="R8" s="218"/>
    </row>
    <row r="9" spans="2:18">
      <c r="B9" s="215"/>
      <c r="E9" s="20" t="s">
        <v>70</v>
      </c>
      <c r="G9" s="219">
        <f>24273</f>
        <v>24273</v>
      </c>
      <c r="H9" s="279" t="s">
        <v>106</v>
      </c>
      <c r="I9" s="222"/>
      <c r="J9" s="20" t="str">
        <f t="shared" ref="J9:J14" si="0">_xlfn.CONCAT(E9," - ",H9)</f>
        <v>Mazout - litres</v>
      </c>
      <c r="K9" s="220">
        <f t="shared" ref="K9:K14" si="1">IFERROR($G9*VLOOKUP($J9,EF_Table,3,FALSE),0)</f>
        <v>74794.420104222809</v>
      </c>
      <c r="L9" s="220">
        <f t="shared" ref="L9:L14" si="2">IFERROR($G9*VLOOKUP($J9,EF_Table,4,FALSE),0)</f>
        <v>64353.548519999989</v>
      </c>
      <c r="M9" s="220">
        <f t="shared" ref="M9:M14" si="3">IFERROR($G9*VLOOKUP($J9,EF_Table,5,FALSE),0)</f>
        <v>8979.7646387818786</v>
      </c>
      <c r="N9" s="221" t="s">
        <v>55</v>
      </c>
      <c r="O9" s="243" t="s">
        <v>919</v>
      </c>
      <c r="P9" s="246" t="s">
        <v>921</v>
      </c>
      <c r="R9" s="218"/>
    </row>
    <row r="10" spans="2:18">
      <c r="B10" s="215"/>
      <c r="E10" s="20" t="s">
        <v>65</v>
      </c>
      <c r="G10" s="219">
        <v>0</v>
      </c>
      <c r="H10" s="279" t="s">
        <v>293</v>
      </c>
      <c r="I10" s="222"/>
      <c r="J10" s="20" t="str">
        <f t="shared" si="0"/>
        <v>Gaz naturel - Choississez l'unité</v>
      </c>
      <c r="K10" s="220">
        <f t="shared" si="1"/>
        <v>0</v>
      </c>
      <c r="L10" s="220">
        <f t="shared" si="2"/>
        <v>0</v>
      </c>
      <c r="M10" s="220">
        <f t="shared" si="3"/>
        <v>0</v>
      </c>
      <c r="N10" s="221" t="s">
        <v>55</v>
      </c>
      <c r="O10" s="243" t="s">
        <v>96</v>
      </c>
      <c r="P10" s="246"/>
      <c r="R10" s="218"/>
    </row>
    <row r="11" spans="2:18">
      <c r="B11" s="215"/>
      <c r="E11" s="242" t="s">
        <v>333</v>
      </c>
      <c r="G11" s="219">
        <f>36.3*15000</f>
        <v>544500</v>
      </c>
      <c r="H11" s="279" t="s">
        <v>284</v>
      </c>
      <c r="I11" s="222"/>
      <c r="J11" s="20" t="str">
        <f t="shared" si="0"/>
        <v>Bois (bûches, copeaux, pellets) - MJ</v>
      </c>
      <c r="K11" s="220">
        <f t="shared" si="1"/>
        <v>6202.7625000000007</v>
      </c>
      <c r="L11" s="220">
        <f t="shared" si="2"/>
        <v>310.13812499999995</v>
      </c>
      <c r="M11" s="220">
        <f t="shared" si="3"/>
        <v>5892.6243750000003</v>
      </c>
      <c r="N11" s="221" t="s">
        <v>55</v>
      </c>
      <c r="O11" s="243" t="s">
        <v>96</v>
      </c>
      <c r="P11" s="246" t="s">
        <v>922</v>
      </c>
      <c r="R11" s="218"/>
    </row>
    <row r="12" spans="2:18">
      <c r="B12" s="215"/>
      <c r="E12" s="20" t="s">
        <v>68</v>
      </c>
      <c r="G12" s="219">
        <v>0</v>
      </c>
      <c r="H12" s="279" t="s">
        <v>301</v>
      </c>
      <c r="I12" s="222"/>
      <c r="J12" s="20" t="str">
        <f t="shared" si="0"/>
        <v>Solaire thermique - kWh</v>
      </c>
      <c r="K12" s="220">
        <f t="shared" si="1"/>
        <v>0</v>
      </c>
      <c r="L12" s="220">
        <f t="shared" si="2"/>
        <v>0</v>
      </c>
      <c r="M12" s="220">
        <f t="shared" si="3"/>
        <v>0</v>
      </c>
      <c r="N12" s="221" t="s">
        <v>55</v>
      </c>
      <c r="O12" s="243" t="s">
        <v>96</v>
      </c>
      <c r="P12" s="246"/>
      <c r="R12" s="218"/>
    </row>
    <row r="13" spans="2:18">
      <c r="B13" s="215"/>
      <c r="E13" s="20" t="s">
        <v>254</v>
      </c>
      <c r="G13" s="219">
        <v>0</v>
      </c>
      <c r="H13" s="279" t="s">
        <v>293</v>
      </c>
      <c r="I13" s="222"/>
      <c r="J13" s="20" t="str">
        <f t="shared" si="0"/>
        <v>Pompe à chaleur - Choississez l'unité</v>
      </c>
      <c r="K13" s="220">
        <f t="shared" si="1"/>
        <v>0</v>
      </c>
      <c r="L13" s="220">
        <f t="shared" si="2"/>
        <v>0</v>
      </c>
      <c r="M13" s="220">
        <f t="shared" si="3"/>
        <v>0</v>
      </c>
      <c r="N13" s="221" t="s">
        <v>55</v>
      </c>
      <c r="O13" s="243" t="s">
        <v>96</v>
      </c>
      <c r="P13" s="246"/>
      <c r="R13" s="218"/>
    </row>
    <row r="14" spans="2:18">
      <c r="B14" s="215"/>
      <c r="E14" s="20" t="s">
        <v>67</v>
      </c>
      <c r="G14" s="219">
        <v>0</v>
      </c>
      <c r="H14" s="279" t="s">
        <v>301</v>
      </c>
      <c r="I14" s="222"/>
      <c r="J14" s="20" t="str">
        <f t="shared" si="0"/>
        <v>Chauffage à distance - kWh</v>
      </c>
      <c r="K14" s="220">
        <f t="shared" si="1"/>
        <v>0</v>
      </c>
      <c r="L14" s="220">
        <f t="shared" si="2"/>
        <v>0</v>
      </c>
      <c r="M14" s="220">
        <f t="shared" si="3"/>
        <v>0</v>
      </c>
      <c r="N14" s="221" t="s">
        <v>55</v>
      </c>
      <c r="O14" s="243" t="s">
        <v>907</v>
      </c>
      <c r="P14" s="246"/>
      <c r="R14" s="218"/>
    </row>
    <row r="15" spans="2:18">
      <c r="B15" s="215"/>
      <c r="D15" s="216"/>
      <c r="H15" s="222"/>
      <c r="I15" s="222"/>
      <c r="K15" s="223">
        <f>IFERROR(K16+K17,0)</f>
        <v>21304.242999999999</v>
      </c>
      <c r="L15" s="223">
        <f>IFERROR(L16+L17,0)</f>
        <v>0</v>
      </c>
      <c r="M15" s="223">
        <f>IFERROR(M16+M17,0)</f>
        <v>21304.242999999999</v>
      </c>
      <c r="R15" s="218"/>
    </row>
    <row r="16" spans="2:18">
      <c r="B16" s="215"/>
      <c r="D16" s="216" t="s">
        <v>26</v>
      </c>
      <c r="G16" s="219">
        <f>140909-18135-5071</f>
        <v>117703</v>
      </c>
      <c r="H16" s="279" t="s">
        <v>301</v>
      </c>
      <c r="I16" s="222"/>
      <c r="J16" s="20" t="str">
        <f>_xlfn.CONCAT(D16," - ",H16)</f>
        <v>Électricité - kWh</v>
      </c>
      <c r="K16" s="220">
        <f>IFERROR(IF($G$16=0,0,($G16-$G17))*VLOOKUP($J16,EF_Table,3,FALSE),0)</f>
        <v>21304.242999999999</v>
      </c>
      <c r="L16" s="220">
        <f>IFERROR(IF($G$16=0,0,($G16-$G17))*VLOOKUP($J16,EF_Table,4,FALSE),0)</f>
        <v>0</v>
      </c>
      <c r="M16" s="220">
        <f>IFERROR(IF($G$16=0,0,($G16-$G17))*VLOOKUP($J16,EF_Table,5,FALSE),0)</f>
        <v>21304.242999999999</v>
      </c>
      <c r="N16" s="221" t="s">
        <v>55</v>
      </c>
      <c r="O16" s="243" t="s">
        <v>919</v>
      </c>
      <c r="P16" s="246" t="s">
        <v>926</v>
      </c>
      <c r="R16" s="218"/>
    </row>
    <row r="17" spans="2:18">
      <c r="B17" s="224"/>
      <c r="D17" s="20" t="s">
        <v>364</v>
      </c>
      <c r="G17" s="219">
        <v>0</v>
      </c>
      <c r="H17" s="20" t="str">
        <f>H16</f>
        <v>kWh</v>
      </c>
      <c r="J17" s="20" t="str">
        <f>_xlfn.CONCAT("Électricité photovoltaïque - ",H17)</f>
        <v>Électricité photovoltaïque - kWh</v>
      </c>
      <c r="K17" s="220">
        <f>IFERROR($G17*VLOOKUP($J17,EF_Table,3,FALSE),0)</f>
        <v>0</v>
      </c>
      <c r="L17" s="220">
        <f>IFERROR($G17*VLOOKUP($J17,EF_Table,4,FALSE),0)</f>
        <v>0</v>
      </c>
      <c r="M17" s="220">
        <f>IFERROR($G17*VLOOKUP($J17,EF_Table,5,FALSE),0)</f>
        <v>0</v>
      </c>
      <c r="N17" s="221" t="s">
        <v>55</v>
      </c>
      <c r="O17" s="243" t="s">
        <v>912</v>
      </c>
      <c r="P17" s="246"/>
      <c r="Q17" s="216" t="s">
        <v>854</v>
      </c>
      <c r="R17" s="218"/>
    </row>
    <row r="18" spans="2:18">
      <c r="B18" s="224"/>
      <c r="D18" s="216"/>
      <c r="G18" s="225"/>
      <c r="R18" s="218"/>
    </row>
    <row r="19" spans="2:18" ht="47.25">
      <c r="B19" s="205"/>
      <c r="C19" s="206" t="s">
        <v>784</v>
      </c>
      <c r="D19" s="145"/>
      <c r="E19" s="145"/>
      <c r="F19" s="145"/>
      <c r="G19" s="145"/>
      <c r="H19" s="145"/>
      <c r="I19" s="145"/>
      <c r="J19" s="145"/>
      <c r="K19" s="145"/>
      <c r="L19" s="145"/>
      <c r="M19" s="145"/>
      <c r="N19" s="145"/>
      <c r="O19" s="145"/>
      <c r="P19" s="145"/>
      <c r="Q19" s="365" t="s">
        <v>873</v>
      </c>
      <c r="R19" s="97"/>
    </row>
    <row r="20" spans="2:18">
      <c r="B20" s="215"/>
      <c r="D20" s="216" t="s">
        <v>797</v>
      </c>
      <c r="K20" s="217">
        <f>SUM(K21:K26)</f>
        <v>21831.08</v>
      </c>
      <c r="L20" s="217">
        <f>SUM(L21:L26)</f>
        <v>18856.933986976743</v>
      </c>
      <c r="M20" s="217">
        <f>SUM(M21:M26)</f>
        <v>2974.1940403953486</v>
      </c>
      <c r="R20" s="218"/>
    </row>
    <row r="21" spans="2:18">
      <c r="B21" s="215"/>
      <c r="E21" s="20" t="s">
        <v>70</v>
      </c>
      <c r="G21" s="219">
        <f>6000*42.6</f>
        <v>255600</v>
      </c>
      <c r="H21" s="279" t="s">
        <v>284</v>
      </c>
      <c r="I21" s="222"/>
      <c r="J21" s="20" t="str">
        <f t="shared" ref="J21:J26" si="4">_xlfn.CONCAT(E21," - ",H21)</f>
        <v>Mazout - MJ</v>
      </c>
      <c r="K21" s="220">
        <f t="shared" ref="K21:K26" si="5">IFERROR($G21*VLOOKUP($J21,EF_Table,3,FALSE),0)</f>
        <v>21831.08</v>
      </c>
      <c r="L21" s="220">
        <f t="shared" ref="L21:L26" si="6">IFERROR($G21*VLOOKUP($J21,EF_Table,4,FALSE),0)</f>
        <v>18856.933986976743</v>
      </c>
      <c r="M21" s="220">
        <f t="shared" ref="M21:M26" si="7">IFERROR($G21*VLOOKUP($J21,EF_Table,5,FALSE),0)</f>
        <v>2974.1940403953486</v>
      </c>
      <c r="N21" s="221" t="s">
        <v>55</v>
      </c>
      <c r="O21" s="243" t="s">
        <v>919</v>
      </c>
      <c r="P21" s="246" t="s">
        <v>921</v>
      </c>
      <c r="R21" s="218"/>
    </row>
    <row r="22" spans="2:18">
      <c r="B22" s="215"/>
      <c r="E22" s="20" t="s">
        <v>65</v>
      </c>
      <c r="G22" s="219">
        <v>0</v>
      </c>
      <c r="H22" s="279" t="s">
        <v>293</v>
      </c>
      <c r="I22" s="222"/>
      <c r="J22" s="20" t="str">
        <f t="shared" si="4"/>
        <v>Gaz naturel - Choississez l'unité</v>
      </c>
      <c r="K22" s="220">
        <f t="shared" si="5"/>
        <v>0</v>
      </c>
      <c r="L22" s="220">
        <f t="shared" si="6"/>
        <v>0</v>
      </c>
      <c r="M22" s="220">
        <f t="shared" si="7"/>
        <v>0</v>
      </c>
      <c r="N22" s="221" t="s">
        <v>55</v>
      </c>
      <c r="O22" s="243" t="s">
        <v>96</v>
      </c>
      <c r="P22" s="246"/>
      <c r="R22" s="218"/>
    </row>
    <row r="23" spans="2:18">
      <c r="B23" s="215"/>
      <c r="E23" s="242" t="s">
        <v>333</v>
      </c>
      <c r="G23" s="219">
        <v>0</v>
      </c>
      <c r="H23" s="279" t="s">
        <v>293</v>
      </c>
      <c r="I23" s="222"/>
      <c r="J23" s="20" t="str">
        <f t="shared" si="4"/>
        <v>Bois (bûches, copeaux, pellets) - Choississez l'unité</v>
      </c>
      <c r="K23" s="220">
        <f t="shared" si="5"/>
        <v>0</v>
      </c>
      <c r="L23" s="220">
        <f t="shared" si="6"/>
        <v>0</v>
      </c>
      <c r="M23" s="220">
        <f t="shared" si="7"/>
        <v>0</v>
      </c>
      <c r="N23" s="221" t="s">
        <v>55</v>
      </c>
      <c r="O23" s="243" t="s">
        <v>96</v>
      </c>
      <c r="P23" s="246"/>
      <c r="R23" s="218"/>
    </row>
    <row r="24" spans="2:18">
      <c r="B24" s="215"/>
      <c r="E24" s="20" t="s">
        <v>68</v>
      </c>
      <c r="G24" s="219">
        <v>0</v>
      </c>
      <c r="H24" s="279" t="s">
        <v>293</v>
      </c>
      <c r="I24" s="222"/>
      <c r="J24" s="20" t="str">
        <f t="shared" si="4"/>
        <v>Solaire thermique - Choississez l'unité</v>
      </c>
      <c r="K24" s="220">
        <f t="shared" si="5"/>
        <v>0</v>
      </c>
      <c r="L24" s="220">
        <f t="shared" si="6"/>
        <v>0</v>
      </c>
      <c r="M24" s="220">
        <f t="shared" si="7"/>
        <v>0</v>
      </c>
      <c r="N24" s="221" t="s">
        <v>55</v>
      </c>
      <c r="O24" s="243" t="s">
        <v>96</v>
      </c>
      <c r="P24" s="246"/>
      <c r="R24" s="218"/>
    </row>
    <row r="25" spans="2:18">
      <c r="B25" s="215"/>
      <c r="E25" s="20" t="s">
        <v>254</v>
      </c>
      <c r="G25" s="219">
        <v>0</v>
      </c>
      <c r="H25" s="279" t="s">
        <v>293</v>
      </c>
      <c r="I25" s="222"/>
      <c r="J25" s="20" t="str">
        <f t="shared" si="4"/>
        <v>Pompe à chaleur - Choississez l'unité</v>
      </c>
      <c r="K25" s="220">
        <f t="shared" si="5"/>
        <v>0</v>
      </c>
      <c r="L25" s="220">
        <f t="shared" si="6"/>
        <v>0</v>
      </c>
      <c r="M25" s="220">
        <f t="shared" si="7"/>
        <v>0</v>
      </c>
      <c r="N25" s="221" t="s">
        <v>55</v>
      </c>
      <c r="O25" s="243" t="s">
        <v>96</v>
      </c>
      <c r="P25" s="246"/>
      <c r="R25" s="218"/>
    </row>
    <row r="26" spans="2:18">
      <c r="B26" s="215"/>
      <c r="E26" s="20" t="s">
        <v>67</v>
      </c>
      <c r="G26" s="219">
        <v>0</v>
      </c>
      <c r="H26" s="279" t="s">
        <v>301</v>
      </c>
      <c r="I26" s="222"/>
      <c r="J26" s="20" t="str">
        <f t="shared" si="4"/>
        <v>Chauffage à distance - kWh</v>
      </c>
      <c r="K26" s="220">
        <f t="shared" si="5"/>
        <v>0</v>
      </c>
      <c r="L26" s="220">
        <f t="shared" si="6"/>
        <v>0</v>
      </c>
      <c r="M26" s="220">
        <f t="shared" si="7"/>
        <v>0</v>
      </c>
      <c r="N26" s="221" t="s">
        <v>55</v>
      </c>
      <c r="O26" s="243" t="s">
        <v>907</v>
      </c>
      <c r="P26" s="246"/>
      <c r="R26" s="218"/>
    </row>
    <row r="27" spans="2:18">
      <c r="B27" s="215"/>
      <c r="D27" s="216"/>
      <c r="H27" s="222"/>
      <c r="I27" s="222"/>
      <c r="K27" s="223">
        <f>IFERROR(K28+K29,0)</f>
        <v>3282.4349999999999</v>
      </c>
      <c r="L27" s="223">
        <f>IFERROR(L28+L29,0)</f>
        <v>0</v>
      </c>
      <c r="M27" s="223">
        <f>IFERROR(M28+M29,0)</f>
        <v>3282.4349999999999</v>
      </c>
      <c r="R27" s="218"/>
    </row>
    <row r="28" spans="2:18">
      <c r="B28" s="215"/>
      <c r="D28" s="216" t="s">
        <v>26</v>
      </c>
      <c r="G28" s="219">
        <v>18135</v>
      </c>
      <c r="H28" s="279" t="s">
        <v>301</v>
      </c>
      <c r="I28" s="222"/>
      <c r="J28" s="20" t="str">
        <f>_xlfn.CONCAT(D28," - ",H28)</f>
        <v>Électricité - kWh</v>
      </c>
      <c r="K28" s="220">
        <f>IFERROR(IF($G$28=0,0,($G28-$G29))*VLOOKUP($J28,EF_Table,3,FALSE),0)</f>
        <v>3282.4349999999999</v>
      </c>
      <c r="L28" s="220">
        <f>IFERROR(IF($G$28=0,0,($G28-$G29))*VLOOKUP($J28,EF_Table,4,FALSE),0)</f>
        <v>0</v>
      </c>
      <c r="M28" s="220">
        <f>IFERROR(IF($G$28=0,0,($G28-$G29))*VLOOKUP($J28,EF_Table,5,FALSE),0)</f>
        <v>3282.4349999999999</v>
      </c>
      <c r="N28" s="221" t="s">
        <v>55</v>
      </c>
      <c r="O28" s="243" t="s">
        <v>919</v>
      </c>
      <c r="P28" s="246" t="s">
        <v>920</v>
      </c>
      <c r="R28" s="218"/>
    </row>
    <row r="29" spans="2:18">
      <c r="B29" s="224"/>
      <c r="D29" s="20" t="s">
        <v>364</v>
      </c>
      <c r="G29" s="219">
        <v>0</v>
      </c>
      <c r="H29" s="20" t="str">
        <f>H28</f>
        <v>kWh</v>
      </c>
      <c r="J29" s="20" t="str">
        <f>_xlfn.CONCAT("Électricité photovoltaïque - ",H29)</f>
        <v>Électricité photovoltaïque - kWh</v>
      </c>
      <c r="K29" s="220">
        <f>IFERROR($G29*VLOOKUP($J29,EF_Table,3,FALSE),0)</f>
        <v>0</v>
      </c>
      <c r="L29" s="220">
        <f>IFERROR($G29*VLOOKUP($J29,EF_Table,4,FALSE),0)</f>
        <v>0</v>
      </c>
      <c r="M29" s="220">
        <f>IFERROR($G29*VLOOKUP($J29,EF_Table,5,FALSE),0)</f>
        <v>0</v>
      </c>
      <c r="N29" s="221" t="s">
        <v>55</v>
      </c>
      <c r="O29" s="243" t="s">
        <v>912</v>
      </c>
      <c r="P29" s="246"/>
      <c r="Q29" s="216" t="s">
        <v>854</v>
      </c>
      <c r="R29" s="218"/>
    </row>
    <row r="30" spans="2:18">
      <c r="B30" s="224"/>
      <c r="D30" s="216"/>
      <c r="G30" s="225"/>
      <c r="R30" s="218"/>
    </row>
    <row r="31" spans="2:18">
      <c r="B31" s="205"/>
      <c r="C31" s="206" t="s">
        <v>72</v>
      </c>
      <c r="D31" s="206"/>
      <c r="E31" s="145"/>
      <c r="F31" s="145"/>
      <c r="G31" s="226"/>
      <c r="H31" s="145"/>
      <c r="I31" s="145"/>
      <c r="J31" s="145"/>
      <c r="K31" s="145"/>
      <c r="L31" s="145"/>
      <c r="M31" s="145"/>
      <c r="N31" s="145"/>
      <c r="O31" s="145"/>
      <c r="P31" s="145"/>
      <c r="Q31" s="206" t="s">
        <v>853</v>
      </c>
      <c r="R31" s="97"/>
    </row>
    <row r="32" spans="2:18">
      <c r="B32" s="215"/>
      <c r="C32" s="216"/>
      <c r="D32" s="216" t="s">
        <v>26</v>
      </c>
      <c r="G32" s="219">
        <v>5071</v>
      </c>
      <c r="H32" s="279" t="s">
        <v>301</v>
      </c>
      <c r="I32" s="222"/>
      <c r="J32" s="20" t="str">
        <f>_xlfn.CONCAT(D32," - ",H32)</f>
        <v>Électricité - kWh</v>
      </c>
      <c r="K32" s="220">
        <f>IFERROR($G32*VLOOKUP($J32,EF_Table,3,FALSE),0)</f>
        <v>917.851</v>
      </c>
      <c r="L32" s="220">
        <f>IFERROR($G32*VLOOKUP($J32,EF_Table,4,FALSE),0)</f>
        <v>0</v>
      </c>
      <c r="M32" s="220">
        <f>IFERROR($G32*VLOOKUP($J32,EF_Table,5,FALSE),0)</f>
        <v>917.851</v>
      </c>
      <c r="N32" s="221" t="s">
        <v>55</v>
      </c>
      <c r="O32" s="243" t="s">
        <v>96</v>
      </c>
      <c r="P32" s="246"/>
      <c r="R32" s="218"/>
    </row>
    <row r="33" spans="2:18" ht="16.5" thickBot="1">
      <c r="B33" s="227"/>
      <c r="C33" s="228"/>
      <c r="D33" s="228"/>
      <c r="E33" s="228"/>
      <c r="F33" s="228"/>
      <c r="G33" s="229"/>
      <c r="H33" s="228"/>
      <c r="I33" s="228"/>
      <c r="J33" s="228"/>
      <c r="K33" s="228"/>
      <c r="L33" s="228"/>
      <c r="M33" s="228"/>
      <c r="N33" s="228"/>
      <c r="O33" s="228"/>
      <c r="P33" s="228"/>
      <c r="Q33" s="228"/>
      <c r="R33" s="230"/>
    </row>
    <row r="34" spans="2:18" ht="16.5" thickBot="1">
      <c r="B34" s="216"/>
      <c r="G34" s="225"/>
    </row>
    <row r="35" spans="2:18">
      <c r="B35" s="3" t="s">
        <v>866</v>
      </c>
      <c r="C35" s="209"/>
      <c r="D35" s="209"/>
      <c r="E35" s="209"/>
      <c r="F35" s="209"/>
      <c r="G35" s="209"/>
      <c r="H35" s="209"/>
      <c r="I35" s="209"/>
      <c r="J35" s="209"/>
      <c r="K35" s="209"/>
      <c r="L35" s="209"/>
      <c r="M35" s="209"/>
      <c r="N35" s="209"/>
      <c r="O35" s="209"/>
      <c r="P35" s="209"/>
      <c r="Q35" s="367" t="s">
        <v>845</v>
      </c>
      <c r="R35" s="210"/>
    </row>
    <row r="36" spans="2:18">
      <c r="B36" s="215"/>
      <c r="R36" s="218"/>
    </row>
    <row r="37" spans="2:18">
      <c r="B37" s="205"/>
      <c r="C37" s="206" t="s">
        <v>867</v>
      </c>
      <c r="D37" s="145"/>
      <c r="E37" s="145"/>
      <c r="F37" s="145"/>
      <c r="G37" s="145"/>
      <c r="H37" s="145"/>
      <c r="I37" s="145"/>
      <c r="J37" s="145"/>
      <c r="K37" s="231">
        <f>IF(SUM(K44:K48)=0,SUM(K38:K42),SUM(K44:K48))</f>
        <v>15079.936778841991</v>
      </c>
      <c r="L37" s="231">
        <f>IF(SUM(L44:L48)=0,SUM(L38:L42),SUM(L44:L48))</f>
        <v>9128.279959930378</v>
      </c>
      <c r="M37" s="231">
        <f>IF(SUM(M44:M48)=0,SUM(M38:M42),SUM(M44:M48))</f>
        <v>5951.6568189116142</v>
      </c>
      <c r="N37" s="145"/>
      <c r="O37" s="145"/>
      <c r="P37" s="145"/>
      <c r="Q37" s="145"/>
      <c r="R37" s="97"/>
    </row>
    <row r="38" spans="2:18">
      <c r="B38" s="215"/>
      <c r="D38" s="20" t="s">
        <v>138</v>
      </c>
      <c r="G38" s="232">
        <f>IFERROR(Employés_com*'MRMT - Données'!L2*220,0)</f>
        <v>50600</v>
      </c>
      <c r="H38" s="20" t="s">
        <v>58</v>
      </c>
      <c r="J38" s="20" t="s">
        <v>57</v>
      </c>
      <c r="K38" s="220">
        <f>IFERROR($G38*VLOOKUP($J38,EF_Table,3,FALSE)/1.1,"Erreur")</f>
        <v>13966.736778841992</v>
      </c>
      <c r="L38" s="220">
        <f>IFERROR($G38*VLOOKUP($J38,EF_Table,4,FALSE)/1.1,"Erreur")</f>
        <v>8399.6399599303786</v>
      </c>
      <c r="M38" s="220">
        <f>IFERROR($G38*VLOOKUP($J38,EF_Table,5,FALSE)/1.1,"Erreur")</f>
        <v>5567.0968189116138</v>
      </c>
      <c r="N38" s="20" t="s">
        <v>56</v>
      </c>
      <c r="O38" s="20" t="s">
        <v>151</v>
      </c>
      <c r="R38" s="218"/>
    </row>
    <row r="39" spans="2:18">
      <c r="B39" s="215"/>
      <c r="D39" s="20" t="s">
        <v>320</v>
      </c>
      <c r="G39" s="232">
        <f>IFERROR(Employés_com*'MRMT - Données'!L3*220,0)</f>
        <v>2530</v>
      </c>
      <c r="H39" s="20" t="s">
        <v>58</v>
      </c>
      <c r="J39" s="20" t="s">
        <v>60</v>
      </c>
      <c r="K39" s="220">
        <f>IFERROR($G39*VLOOKUP($J39,EF_Table,3,FALSE),"Erreur")</f>
        <v>278.3</v>
      </c>
      <c r="L39" s="220">
        <f>IFERROR($G39*VLOOKUP($J39,EF_Table,4,FALSE),"Erreur")</f>
        <v>222.64000000000001</v>
      </c>
      <c r="M39" s="220">
        <f>IFERROR($G39*VLOOKUP($J39,EF_Table,5,FALSE),"Erreur")</f>
        <v>55.660000000000004</v>
      </c>
      <c r="N39" s="20" t="s">
        <v>56</v>
      </c>
      <c r="O39" s="20" t="s">
        <v>151</v>
      </c>
      <c r="R39" s="218"/>
    </row>
    <row r="40" spans="2:18">
      <c r="B40" s="215"/>
      <c r="D40" s="20" t="s">
        <v>61</v>
      </c>
      <c r="G40" s="232">
        <f>IFERROR(Employés_com*'MRMT - Données'!L4*220,0)</f>
        <v>12650</v>
      </c>
      <c r="H40" s="20" t="s">
        <v>58</v>
      </c>
      <c r="J40" s="20" t="s">
        <v>61</v>
      </c>
      <c r="K40" s="220">
        <f>IFERROR($G40*VLOOKUP($J40,EF_Table,3,FALSE),"Erreur")</f>
        <v>113.85</v>
      </c>
      <c r="L40" s="220">
        <f>IFERROR($G40*VLOOKUP($J40,EF_Table,4,FALSE),"Erreur")</f>
        <v>0</v>
      </c>
      <c r="M40" s="220">
        <f>IFERROR($G40*VLOOKUP($J40,EF_Table,5,FALSE),"Erreur")</f>
        <v>113.85</v>
      </c>
      <c r="N40" s="20" t="s">
        <v>56</v>
      </c>
      <c r="O40" s="20" t="s">
        <v>151</v>
      </c>
      <c r="R40" s="218"/>
    </row>
    <row r="41" spans="2:18">
      <c r="B41" s="215"/>
      <c r="D41" s="20" t="s">
        <v>114</v>
      </c>
      <c r="G41" s="232">
        <f>IFERROR(Employés_com*'MRMT - Données'!L5*220,0)</f>
        <v>12650</v>
      </c>
      <c r="H41" s="20" t="s">
        <v>58</v>
      </c>
      <c r="J41" s="20" t="s">
        <v>62</v>
      </c>
      <c r="K41" s="220">
        <f>IFERROR($G41*VLOOKUP($J41,EF_Table,3,FALSE),"Erreur")</f>
        <v>632.5</v>
      </c>
      <c r="L41" s="220">
        <f>IFERROR($G41*VLOOKUP($J41,EF_Table,4,FALSE),"Erreur")</f>
        <v>506.00000000000011</v>
      </c>
      <c r="M41" s="220">
        <f>IFERROR($G41*VLOOKUP($J41,EF_Table,5,FALSE),"Erreur")</f>
        <v>126.50000000000003</v>
      </c>
      <c r="N41" s="20" t="s">
        <v>56</v>
      </c>
      <c r="O41" s="20" t="s">
        <v>151</v>
      </c>
      <c r="R41" s="218"/>
    </row>
    <row r="42" spans="2:18">
      <c r="B42" s="215"/>
      <c r="D42" s="20" t="s">
        <v>63</v>
      </c>
      <c r="G42" s="232">
        <f>IFERROR(Employés_com*'MRMT - Données'!L6*220,0)</f>
        <v>12650</v>
      </c>
      <c r="H42" s="20" t="s">
        <v>58</v>
      </c>
      <c r="J42" s="20" t="s">
        <v>63</v>
      </c>
      <c r="K42" s="220">
        <f>IFERROR($G42*VLOOKUP($J42,EF_Table,3,FALSE),"Erreur")</f>
        <v>88.55</v>
      </c>
      <c r="L42" s="220">
        <f>IFERROR($G42*VLOOKUP($J42,EF_Table,4,FALSE),"Erreur")</f>
        <v>0</v>
      </c>
      <c r="M42" s="220">
        <f>IFERROR($G42*VLOOKUP($J42,EF_Table,5,FALSE),"Erreur")</f>
        <v>88.55</v>
      </c>
      <c r="N42" s="20" t="s">
        <v>56</v>
      </c>
      <c r="O42" s="20" t="s">
        <v>151</v>
      </c>
      <c r="R42" s="218"/>
    </row>
    <row r="43" spans="2:18">
      <c r="B43" s="215"/>
      <c r="C43" s="216"/>
      <c r="G43" s="140" t="s">
        <v>99</v>
      </c>
      <c r="K43" s="220"/>
      <c r="L43" s="220"/>
      <c r="M43" s="220"/>
      <c r="R43" s="218"/>
    </row>
    <row r="44" spans="2:18">
      <c r="B44" s="215"/>
      <c r="D44" s="20" t="s">
        <v>138</v>
      </c>
      <c r="G44" s="24">
        <v>0</v>
      </c>
      <c r="H44" s="20" t="s">
        <v>58</v>
      </c>
      <c r="J44" s="20" t="s">
        <v>57</v>
      </c>
      <c r="K44" s="220">
        <f>IFERROR($G44*VLOOKUP($J44,EF_Table,3,FALSE),"Erreur")</f>
        <v>0</v>
      </c>
      <c r="L44" s="220">
        <f>IFERROR($G44*VLOOKUP($J44,EF_Table,4,FALSE),"Erreur")</f>
        <v>0</v>
      </c>
      <c r="M44" s="220">
        <f>IFERROR($G44*VLOOKUP($J44,EF_Table,5,FALSE),"Erreur")</f>
        <v>0</v>
      </c>
      <c r="N44" s="20" t="s">
        <v>55</v>
      </c>
      <c r="O44" s="243" t="s">
        <v>96</v>
      </c>
      <c r="P44" s="246"/>
      <c r="R44" s="218"/>
    </row>
    <row r="45" spans="2:18">
      <c r="B45" s="215"/>
      <c r="D45" s="20" t="s">
        <v>320</v>
      </c>
      <c r="G45" s="24">
        <v>0</v>
      </c>
      <c r="H45" s="20" t="s">
        <v>58</v>
      </c>
      <c r="J45" s="20" t="s">
        <v>100</v>
      </c>
      <c r="K45" s="220">
        <f>IFERROR($G45*VLOOKUP($J45,EF_Table,3,FALSE),"Erreur")</f>
        <v>0</v>
      </c>
      <c r="L45" s="220">
        <f>IFERROR($G45*VLOOKUP($J45,EF_Table,4,FALSE),"Erreur")</f>
        <v>0</v>
      </c>
      <c r="M45" s="220">
        <f>IFERROR($G45*VLOOKUP($J45,EF_Table,5,FALSE),"Erreur")</f>
        <v>0</v>
      </c>
      <c r="N45" s="20" t="s">
        <v>55</v>
      </c>
      <c r="O45" s="243" t="s">
        <v>96</v>
      </c>
      <c r="P45" s="246"/>
      <c r="R45" s="218"/>
    </row>
    <row r="46" spans="2:18">
      <c r="B46" s="215"/>
      <c r="D46" s="20" t="s">
        <v>61</v>
      </c>
      <c r="G46" s="24">
        <v>0</v>
      </c>
      <c r="H46" s="20" t="s">
        <v>58</v>
      </c>
      <c r="J46" s="20" t="s">
        <v>61</v>
      </c>
      <c r="K46" s="220">
        <f>IFERROR($G46*VLOOKUP($J46,EF_Table,3,FALSE),"Erreur")</f>
        <v>0</v>
      </c>
      <c r="L46" s="220">
        <f>IFERROR($G46*VLOOKUP($J46,EF_Table,4,FALSE),"Erreur")</f>
        <v>0</v>
      </c>
      <c r="M46" s="220">
        <f>IFERROR($G46*VLOOKUP($J46,EF_Table,5,FALSE),"Erreur")</f>
        <v>0</v>
      </c>
      <c r="N46" s="20" t="s">
        <v>55</v>
      </c>
      <c r="O46" s="243" t="s">
        <v>96</v>
      </c>
      <c r="P46" s="246"/>
      <c r="R46" s="218"/>
    </row>
    <row r="47" spans="2:18">
      <c r="B47" s="215"/>
      <c r="D47" s="20" t="s">
        <v>114</v>
      </c>
      <c r="G47" s="24">
        <v>0</v>
      </c>
      <c r="H47" s="20" t="s">
        <v>58</v>
      </c>
      <c r="J47" s="20" t="s">
        <v>62</v>
      </c>
      <c r="K47" s="220">
        <f>IFERROR($G47*VLOOKUP($J47,EF_Table,3,FALSE),"Erreur")</f>
        <v>0</v>
      </c>
      <c r="L47" s="220">
        <f>IFERROR($G47*VLOOKUP($J47,EF_Table,4,FALSE),"Erreur")</f>
        <v>0</v>
      </c>
      <c r="M47" s="220">
        <f>IFERROR($G47*VLOOKUP($J47,EF_Table,5,FALSE),"Erreur")</f>
        <v>0</v>
      </c>
      <c r="N47" s="20" t="s">
        <v>55</v>
      </c>
      <c r="O47" s="243" t="s">
        <v>96</v>
      </c>
      <c r="P47" s="246"/>
      <c r="R47" s="218"/>
    </row>
    <row r="48" spans="2:18">
      <c r="B48" s="215"/>
      <c r="D48" s="20" t="s">
        <v>63</v>
      </c>
      <c r="G48" s="24">
        <v>0</v>
      </c>
      <c r="H48" s="20" t="s">
        <v>58</v>
      </c>
      <c r="J48" s="20" t="s">
        <v>63</v>
      </c>
      <c r="K48" s="220">
        <f>IFERROR($G48*VLOOKUP($J48,EF_Table,3,FALSE),"Erreur")</f>
        <v>0</v>
      </c>
      <c r="L48" s="220">
        <f>IFERROR($G48*VLOOKUP($J48,EF_Table,4,FALSE),"Erreur")</f>
        <v>0</v>
      </c>
      <c r="M48" s="220">
        <f>IFERROR($G48*VLOOKUP($J48,EF_Table,5,FALSE),"Erreur")</f>
        <v>0</v>
      </c>
      <c r="N48" s="20" t="s">
        <v>55</v>
      </c>
      <c r="O48" s="243" t="s">
        <v>96</v>
      </c>
      <c r="P48" s="246"/>
      <c r="R48" s="218"/>
    </row>
    <row r="49" spans="2:18">
      <c r="B49" s="215"/>
      <c r="G49" s="233"/>
      <c r="O49" s="234"/>
      <c r="R49" s="218"/>
    </row>
    <row r="50" spans="2:18">
      <c r="B50" s="205"/>
      <c r="C50" s="206" t="s">
        <v>868</v>
      </c>
      <c r="D50" s="145"/>
      <c r="E50" s="145"/>
      <c r="F50" s="145"/>
      <c r="G50" s="145"/>
      <c r="H50" s="145"/>
      <c r="I50" s="145"/>
      <c r="J50" s="145"/>
      <c r="K50" s="208">
        <f>SUM(K52:K74)</f>
        <v>9136.5816069284028</v>
      </c>
      <c r="L50" s="208">
        <f>SUM(L52:L74)</f>
        <v>6343.7974396452573</v>
      </c>
      <c r="M50" s="208">
        <f>SUM(M52:M74)</f>
        <v>2792.7841672831482</v>
      </c>
      <c r="N50" s="145"/>
      <c r="O50" s="145"/>
      <c r="P50" s="145"/>
      <c r="Q50" s="145"/>
      <c r="R50" s="97"/>
    </row>
    <row r="51" spans="2:18">
      <c r="B51" s="215"/>
      <c r="D51" s="216" t="s">
        <v>101</v>
      </c>
      <c r="R51" s="218"/>
    </row>
    <row r="52" spans="2:18">
      <c r="B52" s="215"/>
      <c r="E52" s="20" t="s">
        <v>102</v>
      </c>
      <c r="G52" s="24">
        <v>0</v>
      </c>
      <c r="H52" s="20" t="s">
        <v>58</v>
      </c>
      <c r="J52" s="20" t="s">
        <v>309</v>
      </c>
      <c r="K52" s="220">
        <f>IFERROR($G52*VLOOKUP($J52,EF_Table,3,FALSE),"Erreur")</f>
        <v>0</v>
      </c>
      <c r="L52" s="220">
        <f>IFERROR($G52*VLOOKUP($J52,EF_Table,4,FALSE),"Erreur")</f>
        <v>0</v>
      </c>
      <c r="M52" s="220">
        <f>IFERROR($G52*VLOOKUP($J52,EF_Table,5,FALSE),"Erreur")</f>
        <v>0</v>
      </c>
      <c r="N52" s="20" t="s">
        <v>55</v>
      </c>
      <c r="O52" s="243" t="s">
        <v>906</v>
      </c>
      <c r="P52" s="246"/>
      <c r="R52" s="218"/>
    </row>
    <row r="53" spans="2:18">
      <c r="B53" s="215"/>
      <c r="E53" s="20" t="s">
        <v>103</v>
      </c>
      <c r="G53" s="24">
        <v>0</v>
      </c>
      <c r="H53" s="20" t="s">
        <v>58</v>
      </c>
      <c r="J53" s="20" t="s">
        <v>310</v>
      </c>
      <c r="K53" s="220">
        <f>IFERROR($G53*VLOOKUP($J53,EF_Table,3,FALSE),"Erreur")</f>
        <v>0</v>
      </c>
      <c r="L53" s="220">
        <f>IFERROR($G53*VLOOKUP($J53,EF_Table,4,FALSE),"Erreur")</f>
        <v>0</v>
      </c>
      <c r="M53" s="220">
        <f>IFERROR($G53*VLOOKUP($J53,EF_Table,5,FALSE),"Erreur")</f>
        <v>0</v>
      </c>
      <c r="N53" s="20" t="s">
        <v>55</v>
      </c>
      <c r="O53" s="243" t="s">
        <v>906</v>
      </c>
      <c r="P53" s="246"/>
      <c r="R53" s="218"/>
    </row>
    <row r="54" spans="2:18">
      <c r="B54" s="215"/>
      <c r="D54" s="216" t="s">
        <v>104</v>
      </c>
      <c r="K54" s="220"/>
      <c r="L54" s="220"/>
      <c r="M54" s="220"/>
      <c r="O54" s="244"/>
      <c r="R54" s="218"/>
    </row>
    <row r="55" spans="2:18">
      <c r="B55" s="215"/>
      <c r="E55" s="20" t="s">
        <v>105</v>
      </c>
      <c r="G55" s="24">
        <v>0</v>
      </c>
      <c r="H55" s="20" t="s">
        <v>106</v>
      </c>
      <c r="J55" s="20" t="s">
        <v>107</v>
      </c>
      <c r="K55" s="220">
        <f>IFERROR($G55*VLOOKUP($J55,EF_Table,3,FALSE),"Erreur")</f>
        <v>0</v>
      </c>
      <c r="L55" s="220">
        <f>IFERROR($G55*VLOOKUP($J55,EF_Table,4,FALSE),"Erreur")</f>
        <v>0</v>
      </c>
      <c r="M55" s="220">
        <f>IFERROR($G55*VLOOKUP($J55,EF_Table,5,FALSE),"Erreur")</f>
        <v>0</v>
      </c>
      <c r="N55" s="20" t="s">
        <v>55</v>
      </c>
      <c r="O55" s="243" t="s">
        <v>908</v>
      </c>
      <c r="P55" s="246"/>
      <c r="R55" s="218"/>
    </row>
    <row r="56" spans="2:18">
      <c r="B56" s="215"/>
      <c r="E56" s="20" t="s">
        <v>108</v>
      </c>
      <c r="G56" s="24">
        <v>0</v>
      </c>
      <c r="H56" s="20" t="s">
        <v>106</v>
      </c>
      <c r="J56" s="20" t="s">
        <v>109</v>
      </c>
      <c r="K56" s="220">
        <f>IFERROR($G56*VLOOKUP($J56,EF_Table,3,FALSE),"Erreur")</f>
        <v>0</v>
      </c>
      <c r="L56" s="220">
        <f>IFERROR($G56*VLOOKUP($J56,EF_Table,4,FALSE),"Erreur")</f>
        <v>0</v>
      </c>
      <c r="M56" s="220">
        <f>IFERROR($G56*VLOOKUP($J56,EF_Table,5,FALSE),"Erreur")</f>
        <v>0</v>
      </c>
      <c r="N56" s="20" t="s">
        <v>55</v>
      </c>
      <c r="O56" s="243" t="s">
        <v>908</v>
      </c>
      <c r="P56" s="246"/>
      <c r="R56" s="218"/>
    </row>
    <row r="57" spans="2:18">
      <c r="B57" s="215"/>
      <c r="E57" s="20" t="s">
        <v>65</v>
      </c>
      <c r="G57" s="24">
        <v>0</v>
      </c>
      <c r="H57" s="20" t="s">
        <v>110</v>
      </c>
      <c r="J57" s="20" t="s">
        <v>291</v>
      </c>
      <c r="K57" s="220">
        <f>IFERROR($G57*VLOOKUP($J57,EF_Table,3,FALSE),"Erreur")</f>
        <v>0</v>
      </c>
      <c r="L57" s="220">
        <f>IFERROR($G57*VLOOKUP($J57,EF_Table,4,FALSE),"Erreur")</f>
        <v>0</v>
      </c>
      <c r="M57" s="220">
        <f>IFERROR($G57*VLOOKUP($J57,EF_Table,5,FALSE),"Erreur")</f>
        <v>0</v>
      </c>
      <c r="N57" s="20" t="s">
        <v>55</v>
      </c>
      <c r="O57" s="243" t="s">
        <v>908</v>
      </c>
      <c r="P57" s="246"/>
      <c r="R57" s="218"/>
    </row>
    <row r="58" spans="2:18">
      <c r="B58" s="215"/>
      <c r="E58" s="20" t="s">
        <v>200</v>
      </c>
      <c r="G58" s="24">
        <v>0</v>
      </c>
      <c r="H58" s="20" t="s">
        <v>301</v>
      </c>
      <c r="J58" s="20" t="s">
        <v>300</v>
      </c>
      <c r="K58" s="220">
        <f>IFERROR($G58*VLOOKUP($J58,EF_Table,3,FALSE),"Erreur")</f>
        <v>0</v>
      </c>
      <c r="L58" s="220">
        <f>IFERROR($G58*VLOOKUP($J58,EF_Table,4,FALSE),"Erreur")</f>
        <v>0</v>
      </c>
      <c r="M58" s="220">
        <f>IFERROR($G58*VLOOKUP($J58,EF_Table,5,FALSE),"Erreur")</f>
        <v>0</v>
      </c>
      <c r="N58" s="20" t="s">
        <v>55</v>
      </c>
      <c r="O58" s="243" t="s">
        <v>908</v>
      </c>
      <c r="P58" s="246"/>
      <c r="R58" s="218"/>
    </row>
    <row r="59" spans="2:18">
      <c r="B59" s="215"/>
      <c r="G59" s="140" t="s">
        <v>111</v>
      </c>
      <c r="K59" s="220"/>
      <c r="L59" s="220"/>
      <c r="M59" s="220"/>
      <c r="O59" s="244"/>
      <c r="R59" s="218"/>
    </row>
    <row r="60" spans="2:18">
      <c r="B60" s="215"/>
      <c r="E60" s="20" t="s">
        <v>105</v>
      </c>
      <c r="G60" s="24">
        <v>0</v>
      </c>
      <c r="H60" s="20" t="s">
        <v>58</v>
      </c>
      <c r="J60" s="20" t="s">
        <v>302</v>
      </c>
      <c r="K60" s="220">
        <f>IFERROR($G60*VLOOKUP($J60,EF_Table,3,FALSE),"Erreur")</f>
        <v>0</v>
      </c>
      <c r="L60" s="220">
        <f>IFERROR($G60*VLOOKUP($J60,EF_Table,4,FALSE),"Erreur")</f>
        <v>0</v>
      </c>
      <c r="M60" s="220">
        <f>IFERROR($G60*VLOOKUP($J60,EF_Table,5,FALSE),"Erreur")</f>
        <v>0</v>
      </c>
      <c r="N60" s="20" t="s">
        <v>55</v>
      </c>
      <c r="O60" s="243" t="s">
        <v>908</v>
      </c>
      <c r="P60" s="246"/>
      <c r="R60" s="218"/>
    </row>
    <row r="61" spans="2:18">
      <c r="B61" s="215"/>
      <c r="E61" s="20" t="s">
        <v>108</v>
      </c>
      <c r="G61" s="24">
        <v>0</v>
      </c>
      <c r="H61" s="20" t="s">
        <v>58</v>
      </c>
      <c r="J61" s="20" t="s">
        <v>304</v>
      </c>
      <c r="K61" s="220">
        <f>IFERROR($G61*VLOOKUP($J61,EF_Table,3,FALSE),"Erreur")</f>
        <v>0</v>
      </c>
      <c r="L61" s="220">
        <f>IFERROR($G61*VLOOKUP($J61,EF_Table,4,FALSE),"Erreur")</f>
        <v>0</v>
      </c>
      <c r="M61" s="220">
        <f>IFERROR($G61*VLOOKUP($J61,EF_Table,5,FALSE),"Erreur")</f>
        <v>0</v>
      </c>
      <c r="N61" s="20" t="s">
        <v>55</v>
      </c>
      <c r="O61" s="243" t="s">
        <v>908</v>
      </c>
      <c r="P61" s="246"/>
      <c r="R61" s="218"/>
    </row>
    <row r="62" spans="2:18">
      <c r="B62" s="215"/>
      <c r="E62" s="20" t="s">
        <v>65</v>
      </c>
      <c r="G62" s="24">
        <v>0</v>
      </c>
      <c r="H62" s="20" t="s">
        <v>58</v>
      </c>
      <c r="J62" s="20" t="s">
        <v>305</v>
      </c>
      <c r="K62" s="220">
        <f>IFERROR($G62*VLOOKUP($J62,EF_Table,3,FALSE),"Erreur")</f>
        <v>0</v>
      </c>
      <c r="L62" s="220">
        <f>IFERROR($G62*VLOOKUP($J62,EF_Table,4,FALSE),"Erreur")</f>
        <v>0</v>
      </c>
      <c r="M62" s="220">
        <f>IFERROR($G62*VLOOKUP($J62,EF_Table,5,FALSE),"Erreur")</f>
        <v>0</v>
      </c>
      <c r="N62" s="20" t="s">
        <v>55</v>
      </c>
      <c r="O62" s="243" t="s">
        <v>908</v>
      </c>
      <c r="P62" s="246"/>
      <c r="R62" s="218"/>
    </row>
    <row r="63" spans="2:18">
      <c r="B63" s="215"/>
      <c r="E63" s="20" t="s">
        <v>200</v>
      </c>
      <c r="G63" s="24">
        <v>0</v>
      </c>
      <c r="H63" s="20" t="s">
        <v>58</v>
      </c>
      <c r="J63" s="20" t="s">
        <v>303</v>
      </c>
      <c r="K63" s="220">
        <f>IFERROR($G63*VLOOKUP($J63,EF_Table,3,FALSE),"Erreur")</f>
        <v>0</v>
      </c>
      <c r="L63" s="220">
        <f>IFERROR($G63*VLOOKUP($J63,EF_Table,4,FALSE),"Erreur")</f>
        <v>0</v>
      </c>
      <c r="M63" s="220">
        <f>IFERROR($G63*VLOOKUP($J63,EF_Table,5,FALSE),"Erreur")</f>
        <v>0</v>
      </c>
      <c r="N63" s="20" t="s">
        <v>55</v>
      </c>
      <c r="O63" s="243" t="s">
        <v>908</v>
      </c>
      <c r="P63" s="246"/>
      <c r="R63" s="218"/>
    </row>
    <row r="64" spans="2:18">
      <c r="B64" s="215"/>
      <c r="D64" s="216" t="s">
        <v>366</v>
      </c>
      <c r="G64" s="233"/>
      <c r="K64" s="220"/>
      <c r="L64" s="220"/>
      <c r="M64" s="220"/>
      <c r="O64" s="245"/>
      <c r="R64" s="218"/>
    </row>
    <row r="65" spans="2:18">
      <c r="B65" s="215"/>
      <c r="E65" s="20" t="s">
        <v>105</v>
      </c>
      <c r="G65" s="24">
        <f>891.95+1.16</f>
        <v>893.11</v>
      </c>
      <c r="H65" s="20" t="s">
        <v>106</v>
      </c>
      <c r="J65" s="20" t="s">
        <v>107</v>
      </c>
      <c r="K65" s="220">
        <f>IFERROR($G65*VLOOKUP($J65,EF_Table,3,FALSE),"Erreur")</f>
        <v>2627.3463274848264</v>
      </c>
      <c r="L65" s="220">
        <f>IFERROR($G65*VLOOKUP($J65,EF_Table,4,FALSE),"Erreur")</f>
        <v>2344.177872504119</v>
      </c>
      <c r="M65" s="220">
        <f>IFERROR($G65*VLOOKUP($J65,EF_Table,5,FALSE),"Erreur")</f>
        <v>283.16845498070739</v>
      </c>
      <c r="N65" s="20" t="s">
        <v>55</v>
      </c>
      <c r="O65" s="243" t="s">
        <v>919</v>
      </c>
      <c r="P65" s="246"/>
      <c r="R65" s="218"/>
    </row>
    <row r="66" spans="2:18">
      <c r="B66" s="215"/>
      <c r="E66" s="20" t="s">
        <v>108</v>
      </c>
      <c r="G66" s="24">
        <v>149.15</v>
      </c>
      <c r="H66" s="20" t="s">
        <v>106</v>
      </c>
      <c r="J66" s="20" t="s">
        <v>109</v>
      </c>
      <c r="K66" s="220">
        <f>IFERROR($G66*VLOOKUP($J66,EF_Table,3,FALSE),"Erreur")</f>
        <v>436.74102777314573</v>
      </c>
      <c r="L66" s="220">
        <f>IFERROR($G66*VLOOKUP($J66,EF_Table,4,FALSE),"Erreur")</f>
        <v>347.60219325836397</v>
      </c>
      <c r="M66" s="220">
        <f>IFERROR($G66*VLOOKUP($J66,EF_Table,5,FALSE),"Erreur")</f>
        <v>89.138834514781735</v>
      </c>
      <c r="N66" s="20" t="s">
        <v>55</v>
      </c>
      <c r="O66" s="243" t="s">
        <v>919</v>
      </c>
      <c r="P66" s="246"/>
      <c r="R66" s="218"/>
    </row>
    <row r="67" spans="2:18">
      <c r="B67" s="215"/>
      <c r="E67" s="20" t="s">
        <v>65</v>
      </c>
      <c r="G67" s="24">
        <v>0</v>
      </c>
      <c r="H67" s="20" t="s">
        <v>110</v>
      </c>
      <c r="J67" s="20" t="s">
        <v>291</v>
      </c>
      <c r="K67" s="220">
        <f>IFERROR($G67*VLOOKUP($J67,EF_Table,3,FALSE),"Erreur")</f>
        <v>0</v>
      </c>
      <c r="L67" s="220">
        <f>IFERROR($G67*VLOOKUP($J67,EF_Table,4,FALSE),"Erreur")</f>
        <v>0</v>
      </c>
      <c r="M67" s="220">
        <f>IFERROR($G67*VLOOKUP($J67,EF_Table,5,FALSE),"Erreur")</f>
        <v>0</v>
      </c>
      <c r="N67" s="20" t="s">
        <v>55</v>
      </c>
      <c r="O67" s="243" t="s">
        <v>909</v>
      </c>
      <c r="P67" s="246"/>
      <c r="R67" s="218"/>
    </row>
    <row r="68" spans="2:18">
      <c r="B68" s="215"/>
      <c r="E68" s="20" t="s">
        <v>200</v>
      </c>
      <c r="G68" s="24">
        <v>0</v>
      </c>
      <c r="H68" s="20" t="s">
        <v>301</v>
      </c>
      <c r="J68" s="20" t="s">
        <v>300</v>
      </c>
      <c r="K68" s="220">
        <f>IFERROR($G68*VLOOKUP($J68,EF_Table,3,FALSE),"Erreur")</f>
        <v>0</v>
      </c>
      <c r="L68" s="220">
        <f>IFERROR($G68*VLOOKUP($J68,EF_Table,4,FALSE),"Erreur")</f>
        <v>0</v>
      </c>
      <c r="M68" s="220">
        <f>IFERROR($G68*VLOOKUP($J68,EF_Table,5,FALSE),"Erreur")</f>
        <v>0</v>
      </c>
      <c r="N68" s="20" t="s">
        <v>55</v>
      </c>
      <c r="O68" s="243" t="s">
        <v>909</v>
      </c>
      <c r="P68" s="246"/>
      <c r="R68" s="218"/>
    </row>
    <row r="69" spans="2:18">
      <c r="B69" s="215"/>
      <c r="D69" s="216" t="s">
        <v>113</v>
      </c>
      <c r="G69" s="233"/>
      <c r="K69" s="220"/>
      <c r="L69" s="220"/>
      <c r="M69" s="220"/>
      <c r="O69" s="245"/>
      <c r="R69" s="218"/>
    </row>
    <row r="70" spans="2:18">
      <c r="B70" s="215"/>
      <c r="E70" s="20" t="s">
        <v>114</v>
      </c>
      <c r="G70" s="24">
        <v>0</v>
      </c>
      <c r="H70" s="20" t="s">
        <v>58</v>
      </c>
      <c r="J70" s="20" t="s">
        <v>62</v>
      </c>
      <c r="K70" s="220">
        <f>IFERROR($G70*VLOOKUP($J70,EF_Table,3,FALSE),"Erreur")</f>
        <v>0</v>
      </c>
      <c r="L70" s="220">
        <f>IFERROR($G70*VLOOKUP($J70,EF_Table,4,FALSE),"Erreur")</f>
        <v>0</v>
      </c>
      <c r="M70" s="220">
        <f>IFERROR($G70*VLOOKUP($J70,EF_Table,5,FALSE),"Erreur")</f>
        <v>0</v>
      </c>
      <c r="N70" s="20" t="s">
        <v>55</v>
      </c>
      <c r="O70" s="243" t="s">
        <v>96</v>
      </c>
      <c r="P70" s="246"/>
      <c r="R70" s="218"/>
    </row>
    <row r="71" spans="2:18">
      <c r="B71" s="215"/>
      <c r="E71" s="20" t="s">
        <v>61</v>
      </c>
      <c r="G71" s="24">
        <v>0</v>
      </c>
      <c r="H71" s="20" t="s">
        <v>58</v>
      </c>
      <c r="J71" s="20" t="s">
        <v>61</v>
      </c>
      <c r="K71" s="220">
        <f>IFERROR($G71*VLOOKUP($J71,EF_Table,3,FALSE),"Erreur")</f>
        <v>0</v>
      </c>
      <c r="L71" s="220">
        <f>IFERROR($G71*VLOOKUP($J71,EF_Table,4,FALSE),"Erreur")</f>
        <v>0</v>
      </c>
      <c r="M71" s="220">
        <f>IFERROR($G71*VLOOKUP($J71,EF_Table,5,FALSE),"Erreur")</f>
        <v>0</v>
      </c>
      <c r="N71" s="20" t="s">
        <v>55</v>
      </c>
      <c r="O71" s="243" t="s">
        <v>96</v>
      </c>
      <c r="P71" s="246"/>
      <c r="R71" s="218"/>
    </row>
    <row r="72" spans="2:18">
      <c r="B72" s="215"/>
      <c r="E72" s="20" t="s">
        <v>786</v>
      </c>
      <c r="G72" s="24">
        <v>0</v>
      </c>
      <c r="H72" s="20" t="s">
        <v>58</v>
      </c>
      <c r="J72" s="20" t="s">
        <v>785</v>
      </c>
      <c r="K72" s="220">
        <f>IFERROR($G72*VLOOKUP($J72,EF_Table,3,FALSE),"Erreur")</f>
        <v>0</v>
      </c>
      <c r="L72" s="220">
        <f>IFERROR($G72*VLOOKUP($J72,EF_Table,4,FALSE),"Erreur")</f>
        <v>0</v>
      </c>
      <c r="M72" s="220">
        <f>IFERROR($G72*VLOOKUP($J72,EF_Table,5,FALSE),"Erreur")</f>
        <v>0</v>
      </c>
      <c r="N72" s="20" t="s">
        <v>55</v>
      </c>
      <c r="O72" s="243" t="s">
        <v>96</v>
      </c>
      <c r="P72" s="246"/>
      <c r="R72" s="218"/>
    </row>
    <row r="73" spans="2:18">
      <c r="B73" s="215"/>
      <c r="E73" s="20" t="s">
        <v>365</v>
      </c>
      <c r="G73" s="24">
        <v>20000</v>
      </c>
      <c r="H73" s="20" t="s">
        <v>58</v>
      </c>
      <c r="J73" s="20" t="s">
        <v>57</v>
      </c>
      <c r="K73" s="220">
        <f>IFERROR($G73*VLOOKUP($J73,EF_Table,3,FALSE),"Erreur")</f>
        <v>6072.4942516704314</v>
      </c>
      <c r="L73" s="220">
        <f>IFERROR($G73*VLOOKUP($J73,EF_Table,4,FALSE),"Erreur")</f>
        <v>3652.0173738827739</v>
      </c>
      <c r="M73" s="220">
        <f>IFERROR($G73*VLOOKUP($J73,EF_Table,5,FALSE),"Erreur")</f>
        <v>2420.4768777876589</v>
      </c>
      <c r="N73" s="20" t="s">
        <v>55</v>
      </c>
      <c r="O73" s="243" t="s">
        <v>911</v>
      </c>
      <c r="P73" s="246"/>
      <c r="R73" s="218"/>
    </row>
    <row r="74" spans="2:18">
      <c r="B74" s="215"/>
      <c r="E74" s="20" t="s">
        <v>115</v>
      </c>
      <c r="G74" s="24">
        <v>0</v>
      </c>
      <c r="H74" s="20" t="s">
        <v>58</v>
      </c>
      <c r="J74" s="20" t="s">
        <v>57</v>
      </c>
      <c r="K74" s="220">
        <f>IFERROR($G74*VLOOKUP($J74,EF_Table,3,FALSE),"Erreur")</f>
        <v>0</v>
      </c>
      <c r="L74" s="220">
        <f>IFERROR($G74*VLOOKUP($J74,EF_Table,4,FALSE),"Erreur")</f>
        <v>0</v>
      </c>
      <c r="M74" s="220">
        <f>IFERROR($G74*VLOOKUP($J74,EF_Table,5,FALSE),"Erreur")</f>
        <v>0</v>
      </c>
      <c r="N74" s="20" t="s">
        <v>55</v>
      </c>
      <c r="O74" s="243" t="s">
        <v>96</v>
      </c>
      <c r="P74" s="246"/>
      <c r="R74" s="218"/>
    </row>
    <row r="75" spans="2:18" ht="16.5" thickBot="1">
      <c r="B75" s="235"/>
      <c r="C75" s="228"/>
      <c r="D75" s="228"/>
      <c r="E75" s="228"/>
      <c r="F75" s="228"/>
      <c r="G75" s="228"/>
      <c r="H75" s="228"/>
      <c r="I75" s="228"/>
      <c r="J75" s="228"/>
      <c r="K75" s="228"/>
      <c r="L75" s="228"/>
      <c r="M75" s="228"/>
      <c r="N75" s="228"/>
      <c r="O75" s="228"/>
      <c r="P75" s="228"/>
      <c r="Q75" s="228"/>
      <c r="R75" s="230"/>
    </row>
    <row r="76" spans="2:18" ht="16.5" thickBot="1"/>
    <row r="77" spans="2:18" ht="31.5">
      <c r="B77" s="3" t="s">
        <v>116</v>
      </c>
      <c r="C77" s="209"/>
      <c r="D77" s="209"/>
      <c r="E77" s="209"/>
      <c r="F77" s="209"/>
      <c r="G77" s="209"/>
      <c r="H77" s="209"/>
      <c r="I77" s="209"/>
      <c r="J77" s="209"/>
      <c r="K77" s="209"/>
      <c r="L77" s="209"/>
      <c r="M77" s="209"/>
      <c r="N77" s="209"/>
      <c r="O77" s="209"/>
      <c r="P77" s="209"/>
      <c r="Q77" s="368" t="s">
        <v>851</v>
      </c>
      <c r="R77" s="210"/>
    </row>
    <row r="78" spans="2:18">
      <c r="B78" s="215"/>
      <c r="K78" s="217">
        <f>K79+K82</f>
        <v>34235.82</v>
      </c>
      <c r="L78" s="217">
        <f>L79+L82</f>
        <v>34235.82</v>
      </c>
      <c r="M78" s="217">
        <f>M79+M82</f>
        <v>34235.82</v>
      </c>
      <c r="R78" s="218"/>
    </row>
    <row r="79" spans="2:18">
      <c r="B79" s="205"/>
      <c r="C79" s="206" t="s">
        <v>117</v>
      </c>
      <c r="D79" s="145"/>
      <c r="E79" s="145"/>
      <c r="F79" s="145"/>
      <c r="G79" s="207">
        <f>SUM(G80:G81)</f>
        <v>9278</v>
      </c>
      <c r="H79" s="206" t="s">
        <v>35</v>
      </c>
      <c r="I79" s="145"/>
      <c r="J79" s="145" t="s">
        <v>118</v>
      </c>
      <c r="K79" s="208">
        <f>IFERROR($G79*(1-$G$82)*VLOOKUP($J79,EF_Table,3,FALSE),"Erreur")</f>
        <v>34235.82</v>
      </c>
      <c r="L79" s="208">
        <f>IFERROR($G79*(1-$G$82)*VLOOKUP($J79,EF_Table,3,FALSE),"Erreur")</f>
        <v>34235.82</v>
      </c>
      <c r="M79" s="208">
        <f>IFERROR($G79*(1-$G$82)*VLOOKUP($J79,EF_Table,3,FALSE),"Erreur")</f>
        <v>34235.82</v>
      </c>
      <c r="N79" s="145"/>
      <c r="O79" s="145"/>
      <c r="P79" s="145"/>
      <c r="Q79" s="206" t="s">
        <v>850</v>
      </c>
      <c r="R79" s="97"/>
    </row>
    <row r="80" spans="2:18">
      <c r="B80" s="215"/>
      <c r="C80" s="216"/>
      <c r="D80" s="20" t="s">
        <v>119</v>
      </c>
      <c r="G80" s="24">
        <v>9278</v>
      </c>
      <c r="H80" s="20" t="s">
        <v>795</v>
      </c>
      <c r="N80" s="20" t="s">
        <v>55</v>
      </c>
      <c r="O80" s="243" t="s">
        <v>918</v>
      </c>
      <c r="P80" s="246" t="s">
        <v>917</v>
      </c>
      <c r="R80" s="218"/>
    </row>
    <row r="81" spans="2:18">
      <c r="B81" s="215"/>
      <c r="C81" s="216"/>
      <c r="D81" s="20" t="s">
        <v>121</v>
      </c>
      <c r="G81" s="24">
        <v>0</v>
      </c>
      <c r="H81" s="20" t="s">
        <v>120</v>
      </c>
      <c r="N81" s="20" t="s">
        <v>55</v>
      </c>
      <c r="O81" s="243" t="s">
        <v>910</v>
      </c>
      <c r="P81" s="246" t="s">
        <v>910</v>
      </c>
      <c r="R81" s="218"/>
    </row>
    <row r="82" spans="2:18">
      <c r="B82" s="215"/>
      <c r="C82" s="216"/>
      <c r="D82" s="20" t="s">
        <v>122</v>
      </c>
      <c r="G82" s="236">
        <v>0</v>
      </c>
      <c r="H82" s="20" t="s">
        <v>123</v>
      </c>
      <c r="J82" s="20" t="s">
        <v>124</v>
      </c>
      <c r="K82" s="220">
        <f>IFERROR($G79*($G$82)*VLOOKUP($J82,EF_Table,3,FALSE),"Erreur")</f>
        <v>0</v>
      </c>
      <c r="L82" s="220">
        <f>IFERROR($G79*($G$82)*VLOOKUP($J82,EF_Table,3,FALSE),"Erreur")</f>
        <v>0</v>
      </c>
      <c r="M82" s="220">
        <f>IFERROR($G79*($G$82)*VLOOKUP($J82,EF_Table,3,FALSE),"Erreur")</f>
        <v>0</v>
      </c>
      <c r="N82" s="221" t="s">
        <v>55</v>
      </c>
      <c r="O82" s="243" t="s">
        <v>913</v>
      </c>
      <c r="P82" s="246"/>
      <c r="R82" s="218"/>
    </row>
    <row r="83" spans="2:18">
      <c r="B83" s="215"/>
      <c r="C83" s="216"/>
      <c r="G83" s="237"/>
      <c r="N83" s="221"/>
      <c r="O83" s="245"/>
      <c r="R83" s="218"/>
    </row>
    <row r="84" spans="2:18">
      <c r="B84" s="205"/>
      <c r="C84" s="206" t="s">
        <v>790</v>
      </c>
      <c r="D84" s="145"/>
      <c r="E84" s="145"/>
      <c r="F84" s="145"/>
      <c r="G84" s="207"/>
      <c r="H84" s="206"/>
      <c r="I84" s="206" t="s">
        <v>789</v>
      </c>
      <c r="J84" s="145"/>
      <c r="K84" s="208">
        <f>SUM(K85:K90)</f>
        <v>202.83652140000001</v>
      </c>
      <c r="L84" s="208">
        <f>SUM(L85:L90)</f>
        <v>0</v>
      </c>
      <c r="M84" s="208">
        <f>SUM(M85:M90)</f>
        <v>202.83652140000001</v>
      </c>
      <c r="N84" s="145"/>
      <c r="O84" s="246"/>
      <c r="P84" s="145"/>
      <c r="Q84" s="145"/>
      <c r="R84" s="97"/>
    </row>
    <row r="85" spans="2:18">
      <c r="B85" s="215"/>
      <c r="C85" s="216"/>
      <c r="D85" s="20" t="s">
        <v>126</v>
      </c>
      <c r="G85" s="24">
        <v>1</v>
      </c>
      <c r="H85" s="20" t="s">
        <v>787</v>
      </c>
      <c r="I85" s="241">
        <v>5</v>
      </c>
      <c r="J85" s="20" t="s">
        <v>127</v>
      </c>
      <c r="K85" s="220">
        <f t="shared" ref="K85:K90" si="8">IFERROR($G85*VLOOKUP($J85,EF_Table,3,FALSE)/I85,"Erreur")</f>
        <v>49.816755999999998</v>
      </c>
      <c r="L85" s="220">
        <f t="shared" ref="L85:L90" si="9">IFERROR($G85*VLOOKUP($J85,EF_Table,4,FALSE)/I85,"Erreur")</f>
        <v>0</v>
      </c>
      <c r="M85" s="220">
        <f t="shared" ref="M85:M90" si="10">IFERROR($G85*VLOOKUP($J85,EF_Table,5,FALSE)/I85,"Erreur")</f>
        <v>49.816755999999998</v>
      </c>
      <c r="N85" s="221" t="s">
        <v>55</v>
      </c>
      <c r="O85" s="243" t="s">
        <v>911</v>
      </c>
      <c r="P85" s="246"/>
      <c r="R85" s="218"/>
    </row>
    <row r="86" spans="2:18">
      <c r="B86" s="215"/>
      <c r="C86" s="216"/>
      <c r="D86" s="20" t="s">
        <v>128</v>
      </c>
      <c r="G86" s="24">
        <v>1</v>
      </c>
      <c r="H86" s="20" t="s">
        <v>787</v>
      </c>
      <c r="I86" s="241">
        <v>5</v>
      </c>
      <c r="J86" s="20" t="s">
        <v>129</v>
      </c>
      <c r="K86" s="220">
        <f t="shared" si="8"/>
        <v>78.8</v>
      </c>
      <c r="L86" s="220">
        <f t="shared" si="9"/>
        <v>0</v>
      </c>
      <c r="M86" s="220">
        <f t="shared" si="10"/>
        <v>78.8</v>
      </c>
      <c r="N86" s="221" t="s">
        <v>55</v>
      </c>
      <c r="O86" s="243" t="s">
        <v>911</v>
      </c>
      <c r="P86" s="246"/>
      <c r="R86" s="218"/>
    </row>
    <row r="87" spans="2:18">
      <c r="B87" s="215"/>
      <c r="C87" s="216"/>
      <c r="D87" s="20" t="s">
        <v>130</v>
      </c>
      <c r="G87" s="24">
        <v>1</v>
      </c>
      <c r="H87" s="20" t="s">
        <v>787</v>
      </c>
      <c r="I87" s="241">
        <v>5</v>
      </c>
      <c r="J87" s="20" t="s">
        <v>131</v>
      </c>
      <c r="K87" s="220">
        <f t="shared" si="8"/>
        <v>35.572355999999999</v>
      </c>
      <c r="L87" s="220">
        <f t="shared" si="9"/>
        <v>0</v>
      </c>
      <c r="M87" s="220">
        <f t="shared" si="10"/>
        <v>35.572355999999999</v>
      </c>
      <c r="N87" s="221" t="s">
        <v>55</v>
      </c>
      <c r="O87" s="243" t="s">
        <v>911</v>
      </c>
      <c r="P87" s="246"/>
      <c r="R87" s="218"/>
    </row>
    <row r="88" spans="2:18">
      <c r="B88" s="215"/>
      <c r="C88" s="216"/>
      <c r="D88" s="20" t="s">
        <v>132</v>
      </c>
      <c r="G88" s="24">
        <v>1</v>
      </c>
      <c r="H88" s="20" t="s">
        <v>787</v>
      </c>
      <c r="I88" s="241">
        <v>5</v>
      </c>
      <c r="J88" s="20" t="s">
        <v>133</v>
      </c>
      <c r="K88" s="220">
        <f t="shared" si="8"/>
        <v>36</v>
      </c>
      <c r="L88" s="220">
        <f t="shared" si="9"/>
        <v>0</v>
      </c>
      <c r="M88" s="220">
        <f t="shared" si="10"/>
        <v>36</v>
      </c>
      <c r="N88" s="221" t="s">
        <v>55</v>
      </c>
      <c r="O88" s="243" t="s">
        <v>911</v>
      </c>
      <c r="P88" s="246"/>
      <c r="R88" s="218"/>
    </row>
    <row r="89" spans="2:18">
      <c r="B89" s="215"/>
      <c r="C89" s="216"/>
      <c r="D89" s="20" t="s">
        <v>134</v>
      </c>
      <c r="G89" s="24">
        <v>0.2</v>
      </c>
      <c r="H89" s="20" t="s">
        <v>787</v>
      </c>
      <c r="I89" s="241">
        <v>5</v>
      </c>
      <c r="J89" s="20" t="s">
        <v>135</v>
      </c>
      <c r="K89" s="220">
        <f t="shared" si="8"/>
        <v>2.6474094000000004</v>
      </c>
      <c r="L89" s="220">
        <f t="shared" si="9"/>
        <v>0</v>
      </c>
      <c r="M89" s="220">
        <f t="shared" si="10"/>
        <v>2.6474094000000004</v>
      </c>
      <c r="N89" s="221" t="s">
        <v>55</v>
      </c>
      <c r="O89" s="243" t="s">
        <v>911</v>
      </c>
      <c r="P89" s="246"/>
      <c r="R89" s="218"/>
    </row>
    <row r="90" spans="2:18">
      <c r="B90" s="215"/>
      <c r="C90" s="216"/>
      <c r="D90" s="20" t="s">
        <v>149</v>
      </c>
      <c r="G90" s="24">
        <v>0</v>
      </c>
      <c r="H90" s="20" t="s">
        <v>787</v>
      </c>
      <c r="I90" s="241">
        <v>5</v>
      </c>
      <c r="J90" s="20" t="s">
        <v>232</v>
      </c>
      <c r="K90" s="220">
        <f t="shared" si="8"/>
        <v>0</v>
      </c>
      <c r="L90" s="220">
        <f t="shared" si="9"/>
        <v>0</v>
      </c>
      <c r="M90" s="220">
        <f t="shared" si="10"/>
        <v>0</v>
      </c>
      <c r="N90" s="221" t="s">
        <v>55</v>
      </c>
      <c r="O90" s="243" t="s">
        <v>911</v>
      </c>
      <c r="P90" s="246"/>
      <c r="R90" s="218"/>
    </row>
    <row r="91" spans="2:18">
      <c r="B91" s="215"/>
      <c r="C91" s="216"/>
      <c r="G91" s="233">
        <v>0</v>
      </c>
      <c r="N91" s="221"/>
      <c r="O91" s="245"/>
      <c r="R91" s="218"/>
    </row>
    <row r="92" spans="2:18">
      <c r="B92" s="205"/>
      <c r="C92" s="206" t="s">
        <v>899</v>
      </c>
      <c r="D92" s="145"/>
      <c r="E92" s="145"/>
      <c r="F92" s="145"/>
      <c r="G92" s="207"/>
      <c r="H92" s="206"/>
      <c r="I92" s="206" t="s">
        <v>789</v>
      </c>
      <c r="J92" s="145"/>
      <c r="K92" s="208">
        <f>SUM(K93:K97)</f>
        <v>4294.7899599999992</v>
      </c>
      <c r="L92" s="208">
        <f>SUM(L93:L97)</f>
        <v>0</v>
      </c>
      <c r="M92" s="208">
        <f>SUM(M93:M97)</f>
        <v>4294.7899599999992</v>
      </c>
      <c r="N92" s="145"/>
      <c r="O92" s="246"/>
      <c r="P92" s="145"/>
      <c r="Q92" s="145"/>
      <c r="R92" s="97"/>
    </row>
    <row r="93" spans="2:18">
      <c r="B93" s="215"/>
      <c r="C93" s="216"/>
      <c r="D93" s="20" t="s">
        <v>150</v>
      </c>
      <c r="G93" s="24">
        <v>0</v>
      </c>
      <c r="H93" s="20" t="s">
        <v>884</v>
      </c>
      <c r="I93" s="241">
        <v>1</v>
      </c>
      <c r="J93" s="20" t="s">
        <v>315</v>
      </c>
      <c r="K93" s="220">
        <f>IFERROR($G93*VLOOKUP($J93,EF_Table,3,FALSE)/I93,"Erreur")</f>
        <v>0</v>
      </c>
      <c r="L93" s="220">
        <f>IFERROR($G93*VLOOKUP($J93,EF_Table,4,FALSE)/I93,"Erreur")</f>
        <v>0</v>
      </c>
      <c r="M93" s="220">
        <f>IFERROR($G93*VLOOKUP($J93,EF_Table,5,FALSE)/I93,"Erreur")</f>
        <v>0</v>
      </c>
      <c r="N93" s="221" t="s">
        <v>55</v>
      </c>
      <c r="O93" s="243" t="s">
        <v>909</v>
      </c>
      <c r="P93" s="246"/>
      <c r="R93" s="218"/>
    </row>
    <row r="94" spans="2:18">
      <c r="B94" s="215"/>
      <c r="C94" s="216"/>
      <c r="D94" s="20" t="s">
        <v>137</v>
      </c>
      <c r="G94" s="24">
        <v>0</v>
      </c>
      <c r="H94" s="20" t="s">
        <v>884</v>
      </c>
      <c r="I94" s="241">
        <v>1</v>
      </c>
      <c r="J94" s="20" t="s">
        <v>316</v>
      </c>
      <c r="K94" s="220">
        <f>IFERROR($G94*VLOOKUP($J94,EF_Table,3,FALSE)/I94,"Erreur")</f>
        <v>0</v>
      </c>
      <c r="L94" s="220">
        <f>IFERROR($G94*VLOOKUP($J94,EF_Table,4,FALSE)/I94,"Erreur")</f>
        <v>0</v>
      </c>
      <c r="M94" s="220">
        <f>IFERROR($G94*VLOOKUP($J94,EF_Table,5,FALSE)/I94,"Erreur")</f>
        <v>0</v>
      </c>
      <c r="N94" s="221" t="s">
        <v>55</v>
      </c>
      <c r="O94" s="243" t="s">
        <v>909</v>
      </c>
      <c r="P94" s="246"/>
      <c r="R94" s="218"/>
    </row>
    <row r="95" spans="2:18">
      <c r="B95" s="215"/>
      <c r="C95" s="216"/>
      <c r="D95" s="20" t="s">
        <v>139</v>
      </c>
      <c r="G95" s="24">
        <v>0.2</v>
      </c>
      <c r="H95" s="20" t="s">
        <v>884</v>
      </c>
      <c r="I95" s="241">
        <v>5</v>
      </c>
      <c r="J95" s="20" t="s">
        <v>317</v>
      </c>
      <c r="K95" s="220">
        <f>IFERROR($G95*VLOOKUP($J95,EF_Table,3,FALSE)/I95,"Erreur")</f>
        <v>720.93412000000001</v>
      </c>
      <c r="L95" s="220">
        <f>IFERROR($G95*VLOOKUP($J95,EF_Table,4,FALSE)/I95,"Erreur")</f>
        <v>0</v>
      </c>
      <c r="M95" s="220">
        <f>IFERROR($G95*VLOOKUP($J95,EF_Table,5,FALSE)/I95,"Erreur")</f>
        <v>720.93412000000001</v>
      </c>
      <c r="N95" s="221" t="s">
        <v>55</v>
      </c>
      <c r="O95" s="243" t="s">
        <v>914</v>
      </c>
      <c r="P95" s="246"/>
      <c r="R95" s="218"/>
    </row>
    <row r="96" spans="2:18" ht="31.5">
      <c r="B96" s="215"/>
      <c r="C96" s="216"/>
      <c r="D96" s="20" t="s">
        <v>140</v>
      </c>
      <c r="G96" s="24">
        <v>0.4</v>
      </c>
      <c r="H96" s="20" t="s">
        <v>884</v>
      </c>
      <c r="I96" s="241">
        <v>5</v>
      </c>
      <c r="J96" s="20" t="s">
        <v>318</v>
      </c>
      <c r="K96" s="220">
        <f>IFERROR($G96*VLOOKUP($J96,EF_Table,3,FALSE)/I96,"Erreur")</f>
        <v>2945.5358399999996</v>
      </c>
      <c r="L96" s="220">
        <f>IFERROR($G96*VLOOKUP($J96,EF_Table,4,FALSE)/I96,"Erreur")</f>
        <v>0</v>
      </c>
      <c r="M96" s="220">
        <f>IFERROR($G96*VLOOKUP($J96,EF_Table,5,FALSE)/I96,"Erreur")</f>
        <v>2945.5358399999996</v>
      </c>
      <c r="N96" s="221" t="s">
        <v>55</v>
      </c>
      <c r="O96" s="417" t="s">
        <v>916</v>
      </c>
      <c r="P96" s="246"/>
      <c r="R96" s="218"/>
    </row>
    <row r="97" spans="2:18" ht="63">
      <c r="B97" s="215"/>
      <c r="C97" s="216"/>
      <c r="D97" s="20" t="s">
        <v>896</v>
      </c>
      <c r="G97" s="24">
        <v>0.8</v>
      </c>
      <c r="H97" s="20" t="s">
        <v>884</v>
      </c>
      <c r="I97" s="241">
        <v>5</v>
      </c>
      <c r="J97" s="20" t="s">
        <v>897</v>
      </c>
      <c r="K97" s="220">
        <f>IFERROR($G97*VLOOKUP($J97,EF_Table,3,FALSE)/I97,"Erreur")</f>
        <v>628.32000000000005</v>
      </c>
      <c r="L97" s="220">
        <f>IFERROR($G97*VLOOKUP($J97,EF_Table,4,FALSE)/I97,"Erreur")</f>
        <v>0</v>
      </c>
      <c r="M97" s="220">
        <f>IFERROR($G97*VLOOKUP($J97,EF_Table,5,FALSE)/I97,"Erreur")</f>
        <v>628.32000000000005</v>
      </c>
      <c r="N97" s="221" t="s">
        <v>55</v>
      </c>
      <c r="O97" s="417" t="s">
        <v>915</v>
      </c>
      <c r="P97" s="246"/>
      <c r="R97" s="218"/>
    </row>
    <row r="98" spans="2:18">
      <c r="B98" s="215"/>
      <c r="C98" s="216"/>
      <c r="G98" s="238"/>
      <c r="N98" s="239"/>
      <c r="O98" s="245"/>
      <c r="R98" s="218"/>
    </row>
    <row r="99" spans="2:18">
      <c r="B99" s="205"/>
      <c r="C99" s="206" t="s">
        <v>141</v>
      </c>
      <c r="D99" s="145"/>
      <c r="E99" s="145"/>
      <c r="F99" s="145"/>
      <c r="G99" s="207"/>
      <c r="H99" s="206"/>
      <c r="I99" s="206"/>
      <c r="J99" s="145"/>
      <c r="K99" s="208"/>
      <c r="L99" s="208"/>
      <c r="M99" s="208"/>
      <c r="N99" s="145"/>
      <c r="O99" s="246"/>
      <c r="P99" s="145"/>
      <c r="Q99" s="145"/>
      <c r="R99" s="97"/>
    </row>
    <row r="100" spans="2:18">
      <c r="B100" s="215"/>
      <c r="C100" s="216"/>
      <c r="G100" s="24">
        <v>0</v>
      </c>
      <c r="H100" s="20" t="s">
        <v>796</v>
      </c>
      <c r="J100" s="20" t="s">
        <v>142</v>
      </c>
      <c r="K100" s="220">
        <f>IFERROR($G100*VLOOKUP($J100,EF_Table,3,FALSE),"Erreur")</f>
        <v>0</v>
      </c>
      <c r="L100" s="220">
        <f>IFERROR($G100*VLOOKUP($J100,EF_Table,4,FALSE),"Erreur")</f>
        <v>0</v>
      </c>
      <c r="M100" s="220">
        <f>IFERROR($G100*VLOOKUP($J100,EF_Table,5,FALSE),"Erreur")</f>
        <v>0</v>
      </c>
      <c r="N100" s="221" t="s">
        <v>55</v>
      </c>
      <c r="O100" s="243" t="s">
        <v>96</v>
      </c>
      <c r="P100" s="246"/>
      <c r="R100" s="218"/>
    </row>
    <row r="101" spans="2:18" ht="16.5" thickBot="1">
      <c r="B101" s="235"/>
      <c r="C101" s="228"/>
      <c r="D101" s="228"/>
      <c r="E101" s="228"/>
      <c r="F101" s="228"/>
      <c r="G101" s="228"/>
      <c r="H101" s="228"/>
      <c r="I101" s="228"/>
      <c r="J101" s="228"/>
      <c r="K101" s="228"/>
      <c r="L101" s="228"/>
      <c r="M101" s="228"/>
      <c r="N101" s="228"/>
      <c r="O101" s="228"/>
      <c r="P101" s="228"/>
      <c r="Q101" s="228"/>
      <c r="R101" s="230"/>
    </row>
    <row r="102" spans="2:18" ht="16.5" thickBot="1"/>
    <row r="103" spans="2:18">
      <c r="B103" s="3" t="s">
        <v>144</v>
      </c>
      <c r="C103" s="209"/>
      <c r="D103" s="209"/>
      <c r="E103" s="209"/>
      <c r="F103" s="209"/>
      <c r="G103" s="209"/>
      <c r="H103" s="209"/>
      <c r="I103" s="209"/>
      <c r="J103" s="209"/>
      <c r="K103" s="209"/>
      <c r="L103" s="209"/>
      <c r="M103" s="209"/>
      <c r="N103" s="209"/>
      <c r="O103" s="209"/>
      <c r="P103" s="209"/>
      <c r="Q103" s="209"/>
      <c r="R103" s="210"/>
    </row>
    <row r="104" spans="2:18">
      <c r="B104" s="224"/>
      <c r="R104" s="218"/>
    </row>
    <row r="105" spans="2:18" ht="31.5">
      <c r="B105" s="240"/>
      <c r="C105" s="206" t="s">
        <v>382</v>
      </c>
      <c r="D105" s="145"/>
      <c r="E105" s="145"/>
      <c r="F105" s="145"/>
      <c r="G105" s="145"/>
      <c r="H105" s="145"/>
      <c r="I105" s="145"/>
      <c r="J105" s="145"/>
      <c r="K105" s="145"/>
      <c r="L105" s="145"/>
      <c r="M105" s="145"/>
      <c r="N105" s="145"/>
      <c r="O105" s="145"/>
      <c r="P105" s="145"/>
      <c r="Q105" s="365" t="s">
        <v>852</v>
      </c>
      <c r="R105" s="97"/>
    </row>
    <row r="106" spans="2:18">
      <c r="B106" s="215"/>
      <c r="D106" s="20" t="s">
        <v>145</v>
      </c>
      <c r="G106" s="373">
        <f>'Données Territoire'!E114</f>
        <v>200000</v>
      </c>
      <c r="H106" s="20" t="s">
        <v>367</v>
      </c>
      <c r="J106" s="20" t="s">
        <v>34</v>
      </c>
      <c r="K106" s="220">
        <f>'Données Territoire'!K114</f>
        <v>49000</v>
      </c>
      <c r="L106" s="220">
        <f>'Données Territoire'!L114</f>
        <v>0</v>
      </c>
      <c r="M106" s="220">
        <f>'Données Territoire'!M114</f>
        <v>49000</v>
      </c>
      <c r="N106" s="20" t="s">
        <v>55</v>
      </c>
      <c r="O106" s="20" t="s">
        <v>883</v>
      </c>
      <c r="P106" s="244"/>
      <c r="R106" s="218"/>
    </row>
    <row r="107" spans="2:18">
      <c r="B107" s="215"/>
      <c r="D107" s="20" t="s">
        <v>146</v>
      </c>
      <c r="G107" s="373">
        <f>'Données Territoire'!E115</f>
        <v>100000</v>
      </c>
      <c r="H107" s="20" t="s">
        <v>367</v>
      </c>
      <c r="J107" s="20" t="s">
        <v>34</v>
      </c>
      <c r="K107" s="220">
        <f>'Données Territoire'!K115</f>
        <v>24500</v>
      </c>
      <c r="L107" s="220">
        <f>'Données Territoire'!L115</f>
        <v>0</v>
      </c>
      <c r="M107" s="220">
        <f>'Données Territoire'!M115</f>
        <v>24500</v>
      </c>
      <c r="N107" s="20" t="s">
        <v>55</v>
      </c>
      <c r="O107" s="20" t="s">
        <v>883</v>
      </c>
      <c r="P107" s="244"/>
      <c r="R107" s="218"/>
    </row>
    <row r="108" spans="2:18">
      <c r="B108" s="215"/>
      <c r="D108" s="20" t="s">
        <v>381</v>
      </c>
      <c r="G108" s="373">
        <f>'Données Territoire'!E116</f>
        <v>500000</v>
      </c>
      <c r="H108" s="20" t="s">
        <v>367</v>
      </c>
      <c r="J108" s="20" t="s">
        <v>34</v>
      </c>
      <c r="K108" s="220">
        <f>'Données Territoire'!K116</f>
        <v>122500</v>
      </c>
      <c r="L108" s="220">
        <f>'Données Territoire'!L116</f>
        <v>0</v>
      </c>
      <c r="M108" s="220">
        <f>'Données Territoire'!M116</f>
        <v>122500</v>
      </c>
      <c r="N108" s="20" t="s">
        <v>55</v>
      </c>
      <c r="O108" s="20" t="s">
        <v>883</v>
      </c>
      <c r="P108" s="244"/>
      <c r="R108" s="218"/>
    </row>
    <row r="109" spans="2:18" ht="16.5" thickBot="1">
      <c r="B109" s="235"/>
      <c r="C109" s="228"/>
      <c r="D109" s="228"/>
      <c r="E109" s="228"/>
      <c r="F109" s="228"/>
      <c r="G109" s="228"/>
      <c r="H109" s="228"/>
      <c r="I109" s="228"/>
      <c r="J109" s="228"/>
      <c r="K109" s="228"/>
      <c r="L109" s="228"/>
      <c r="M109" s="228"/>
      <c r="N109" s="228"/>
      <c r="O109" s="228"/>
      <c r="P109" s="228"/>
      <c r="Q109" s="228"/>
      <c r="R109" s="230"/>
    </row>
    <row r="110" spans="2:18"/>
  </sheetData>
  <sheetProtection algorithmName="SHA-512" hashValue="A9clCbVnVgIHI0Kyrzq6IcfDlNR2orLeMOM1lqizl6svvsnmkoDjeo11oRDPg88CkGuKfx7SHXzUVmXjPGxBiA==" saltValue="lnfX+NlAdH+I9qdhFEFgNA==" spinCount="100000" sheet="1" selectLockedCells="1"/>
  <mergeCells count="1">
    <mergeCell ref="B3:F3"/>
  </mergeCells>
  <phoneticPr fontId="13" type="noConversion"/>
  <conditionalFormatting sqref="N3:N109">
    <cfRule type="containsText" dxfId="4" priority="5" operator="containsText" text="Typologie cantonale">
      <formula>NOT(ISERROR(SEARCH("Typologie cantonale",N3)))</formula>
    </cfRule>
    <cfRule type="containsText" dxfId="3" priority="6" operator="containsText" text="Communal">
      <formula>NOT(ISERROR(SEARCH("Communal",N3)))</formula>
    </cfRule>
  </conditionalFormatting>
  <dataValidations count="3">
    <dataValidation type="decimal" errorStyle="warning" operator="greaterThanOrEqual" showInputMessage="1" errorTitle="Format invalide" error="Veuillez entrer un pourcentage" prompt="Veuillez entrer les données à disposition" sqref="G80:G83 G85:G90 G93:G95 G100" xr:uid="{4A5AF267-D1B8-9F4F-A77C-2CACB0CCA485}">
      <formula1>0</formula1>
    </dataValidation>
    <dataValidation type="decimal" errorStyle="warning" operator="greaterThanOrEqual" showInputMessage="1" showErrorMessage="1" errorTitle="Format invalide" error="Veuillez entrer une valeur en format décimal" prompt="Veuillez entrer les données à disposition" sqref="G52:G53 G55:G58 G60:G74 G96:G97" xr:uid="{92B170B2-76BB-9948-BA21-6ECCA285BD23}">
      <formula1>0</formula1>
    </dataValidation>
    <dataValidation type="decimal" errorStyle="warning" operator="greaterThanOrEqual" showInputMessage="1" showErrorMessage="1" errorTitle="Format invalide" error="Veuillez entrer une valeur en format décimal" promptTitle="Déplacements pendualires" prompt="Veuillez entrer les données à disposition de la commune seulement dans le cas où celles-ci sont plus complètes que les données du mocrorecensement (par exemple: sondage de mobilité interne, ...)._x000a_" sqref="G44:G48" xr:uid="{D1BC419B-2951-1848-A41C-D0881821C56A}">
      <formula1>0</formula1>
    </dataValidation>
  </dataValidations>
  <pageMargins left="0.7" right="0.7" top="0.75" bottom="0.75" header="0.3" footer="0.3"/>
  <ignoredErrors>
    <ignoredError sqref="H29" unlockedFormula="1"/>
  </ignoredErrors>
  <extLst>
    <ext xmlns:x14="http://schemas.microsoft.com/office/spreadsheetml/2009/9/main" uri="{CCE6A557-97BC-4b89-ADB6-D9C93CAAB3DF}">
      <x14:dataValidations xmlns:xm="http://schemas.microsoft.com/office/excel/2006/main" count="5">
        <x14:dataValidation type="list" allowBlank="1" showInputMessage="1" showErrorMessage="1" xr:uid="{BB5687C1-0816-F447-BFB1-A2D7FF5C54B2}">
          <x14:formula1>
            <xm:f>Listes!$A$1:$A$5</xm:f>
          </x14:formula1>
          <xm:sqref>H22:I22</xm:sqref>
        </x14:dataValidation>
        <x14:dataValidation type="list" allowBlank="1" showInputMessage="1" showErrorMessage="1" xr:uid="{023FEE04-8082-F74E-8E66-631D46677DBC}">
          <x14:formula1>
            <xm:f>Listes!$A$1:$A$3</xm:f>
          </x14:formula1>
          <xm:sqref>H16:I16 H32:I32 H28:I28</xm:sqref>
        </x14:dataValidation>
        <x14:dataValidation type="list" allowBlank="1" showInputMessage="1" showErrorMessage="1" xr:uid="{4E092721-09C4-C746-BE0C-308CB833B3DA}">
          <x14:formula1>
            <xm:f>Listes!$A$1:$A$4</xm:f>
          </x14:formula1>
          <xm:sqref>H21:I21 H11:I14 H23:I26</xm:sqref>
        </x14:dataValidation>
        <x14:dataValidation type="list" allowBlank="1" showInputMessage="1" showErrorMessage="1" xr:uid="{181B0AF3-9FC2-B442-974A-44939CB0A6E6}">
          <x14:formula1>
            <xm:f>Listes!$A$1:$A$6</xm:f>
          </x14:formula1>
          <xm:sqref>H10:I10</xm:sqref>
        </x14:dataValidation>
        <x14:dataValidation type="list" allowBlank="1" showInputMessage="1" showErrorMessage="1" xr:uid="{4DC74EAC-5D11-B64D-9DC2-1A3B1C37E7AD}">
          <x14:formula1>
            <xm:f>Listes!$D$1:$D$5</xm:f>
          </x14:formula1>
          <xm:sqref>H9:I9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FBA2B4-9154-7A42-8A9A-239D1A6C4D6D}">
  <sheetPr codeName="Sheet7">
    <tabColor theme="9"/>
  </sheetPr>
  <dimension ref="A1:O35"/>
  <sheetViews>
    <sheetView zoomScale="86" zoomScaleNormal="90" workbookViewId="0">
      <selection activeCell="I15" sqref="I15"/>
    </sheetView>
  </sheetViews>
  <sheetFormatPr baseColWidth="10" defaultColWidth="0" defaultRowHeight="17.100000000000001" customHeight="1" zeroHeight="1"/>
  <cols>
    <col min="1" max="1" width="2.5" style="118" customWidth="1"/>
    <col min="2" max="2" width="55.125" style="118" customWidth="1"/>
    <col min="3" max="5" width="20.875" style="118" customWidth="1"/>
    <col min="6" max="6" width="13" style="118" customWidth="1"/>
    <col min="7" max="7" width="20.375" style="118" customWidth="1"/>
    <col min="8" max="8" width="3.375" style="118" customWidth="1"/>
    <col min="9" max="9" width="37" style="118" customWidth="1"/>
    <col min="10" max="10" width="18.375" style="118" customWidth="1"/>
    <col min="11" max="11" width="16.125" style="118" customWidth="1"/>
    <col min="12" max="12" width="4.5" style="118" customWidth="1"/>
    <col min="13" max="13" width="67.375" style="118" customWidth="1"/>
    <col min="14" max="14" width="2" style="118" customWidth="1"/>
    <col min="15" max="15" width="10.875" style="118" customWidth="1"/>
    <col min="16" max="16384" width="10.875" style="118" hidden="1"/>
  </cols>
  <sheetData>
    <row r="1" spans="2:14" s="117" customFormat="1" ht="42" customHeight="1">
      <c r="B1" s="117" t="s">
        <v>20</v>
      </c>
      <c r="C1" s="117" t="str">
        <f>Commune</f>
        <v>Le Vaud</v>
      </c>
    </row>
    <row r="2" spans="2:14" ht="15.75"/>
    <row r="3" spans="2:14" ht="16.5" thickBot="1">
      <c r="C3" s="261" t="s">
        <v>23</v>
      </c>
      <c r="D3" s="262" t="s">
        <v>21</v>
      </c>
      <c r="E3" s="263" t="s">
        <v>22</v>
      </c>
    </row>
    <row r="4" spans="2:14" ht="31.5">
      <c r="B4" s="264" t="s">
        <v>24</v>
      </c>
      <c r="C4" s="163" t="s">
        <v>361</v>
      </c>
      <c r="D4" s="163" t="s">
        <v>361</v>
      </c>
      <c r="E4" s="163" t="s">
        <v>361</v>
      </c>
      <c r="F4" s="265" t="s">
        <v>25</v>
      </c>
      <c r="G4" s="266" t="s">
        <v>794</v>
      </c>
      <c r="I4" s="442" t="s">
        <v>147</v>
      </c>
      <c r="J4" s="443"/>
      <c r="K4" s="443"/>
      <c r="L4" s="443"/>
      <c r="M4" s="443"/>
      <c r="N4" s="444"/>
    </row>
    <row r="5" spans="2:14" ht="15.75">
      <c r="B5" s="267" t="s">
        <v>269</v>
      </c>
      <c r="C5" s="122">
        <f>C6+C9+C12</f>
        <v>128.33279160422282</v>
      </c>
      <c r="D5" s="122">
        <f>D6+D9+D12</f>
        <v>83.520620631976726</v>
      </c>
      <c r="E5" s="122">
        <f>E6+E9+E12</f>
        <v>43.351112054177221</v>
      </c>
      <c r="F5" s="250">
        <f>IFERROR(C5/$C$33,0)</f>
        <v>0.33136717155570589</v>
      </c>
      <c r="G5" s="251">
        <f t="shared" ref="G5:G32" si="0">IFERROR(C5/Employés_com,0)</f>
        <v>5.579686591487949</v>
      </c>
      <c r="I5" s="123"/>
      <c r="J5" s="124"/>
      <c r="N5" s="125"/>
    </row>
    <row r="6" spans="2:14" ht="15.75">
      <c r="B6" s="268" t="s">
        <v>792</v>
      </c>
      <c r="C6" s="122">
        <f>C7+C8</f>
        <v>102.3014256042228</v>
      </c>
      <c r="D6" s="122">
        <f>D7+D8</f>
        <v>64.663686644999984</v>
      </c>
      <c r="E6" s="122">
        <f>E7+E8</f>
        <v>36.176632013781877</v>
      </c>
      <c r="F6" s="250">
        <f t="shared" ref="F6:F32" si="1">IFERROR(C6/$C$33,0)</f>
        <v>0.26415176997889223</v>
      </c>
      <c r="G6" s="251">
        <f t="shared" si="0"/>
        <v>4.4478880697488172</v>
      </c>
      <c r="I6" s="428" t="s">
        <v>270</v>
      </c>
      <c r="J6" s="259" t="s">
        <v>360</v>
      </c>
      <c r="K6" s="259" t="s">
        <v>360</v>
      </c>
      <c r="L6" s="127"/>
      <c r="M6" s="127"/>
      <c r="N6" s="128"/>
    </row>
    <row r="7" spans="2:14" ht="18.75">
      <c r="B7" s="167" t="s">
        <v>797</v>
      </c>
      <c r="C7" s="126">
        <f>IFERROR(('Données Administration'!K8)/1000,0)</f>
        <v>80.9971826042228</v>
      </c>
      <c r="D7" s="126">
        <f>IFERROR(('Données Administration'!L8)/1000,0)</f>
        <v>64.663686644999984</v>
      </c>
      <c r="E7" s="126">
        <f>IFERROR(('Données Administration'!M8)/1000,0)</f>
        <v>14.872389013781879</v>
      </c>
      <c r="F7" s="252">
        <f t="shared" si="1"/>
        <v>0.20914223845699592</v>
      </c>
      <c r="G7" s="253">
        <f t="shared" si="0"/>
        <v>3.5216166349662088</v>
      </c>
      <c r="I7" s="428"/>
      <c r="J7" s="259" t="s">
        <v>362</v>
      </c>
      <c r="K7" s="259" t="s">
        <v>272</v>
      </c>
      <c r="L7" s="127"/>
      <c r="M7" s="127"/>
      <c r="N7" s="128"/>
    </row>
    <row r="8" spans="2:14" ht="15.75">
      <c r="B8" s="269" t="s">
        <v>26</v>
      </c>
      <c r="C8" s="126">
        <f>IFERROR('Données Administration'!K16/1000,0)</f>
        <v>21.304243</v>
      </c>
      <c r="D8" s="126">
        <f>IFERROR('Données Administration'!L16/1000,0)</f>
        <v>0</v>
      </c>
      <c r="E8" s="126">
        <f>IFERROR('Données Administration'!M16/1000,0)</f>
        <v>21.304243</v>
      </c>
      <c r="F8" s="252">
        <f t="shared" si="1"/>
        <v>5.5009531521896318E-2</v>
      </c>
      <c r="G8" s="253">
        <f t="shared" si="0"/>
        <v>0.92627143478260865</v>
      </c>
      <c r="I8" s="271" t="s">
        <v>70</v>
      </c>
      <c r="J8" s="129">
        <f>('Données Administration'!K9+'Données Administration'!K21)/1000</f>
        <v>96.625500104222809</v>
      </c>
      <c r="K8" s="130">
        <f t="shared" ref="K8:K14" si="2">IFERROR(J8/$J$16,0)</f>
        <v>0.75292915315218101</v>
      </c>
      <c r="N8" s="125"/>
    </row>
    <row r="9" spans="2:14" ht="15.75">
      <c r="B9" s="268" t="s">
        <v>793</v>
      </c>
      <c r="C9" s="122">
        <f>C10+C11</f>
        <v>25.113515</v>
      </c>
      <c r="D9" s="122">
        <f>D10+D11</f>
        <v>18.856933986976742</v>
      </c>
      <c r="E9" s="122">
        <f>E10+E11</f>
        <v>6.2566290403953486</v>
      </c>
      <c r="F9" s="250">
        <f t="shared" si="1"/>
        <v>6.4845425158646372E-2</v>
      </c>
      <c r="G9" s="251">
        <f t="shared" si="0"/>
        <v>1.0918919565217391</v>
      </c>
      <c r="I9" s="271" t="s">
        <v>65</v>
      </c>
      <c r="J9" s="129">
        <f>('Données Administration'!K10+'Données Administration'!K22)/1000</f>
        <v>0</v>
      </c>
      <c r="K9" s="130">
        <f t="shared" si="2"/>
        <v>0</v>
      </c>
      <c r="N9" s="125"/>
    </row>
    <row r="10" spans="2:14" ht="15.75">
      <c r="B10" s="167" t="s">
        <v>797</v>
      </c>
      <c r="C10" s="126">
        <f>IFERROR(('Données Administration'!K20)/1000,0)</f>
        <v>21.83108</v>
      </c>
      <c r="D10" s="126">
        <f>IFERROR(('Données Administration'!L20)/1000,0)</f>
        <v>18.856933986976742</v>
      </c>
      <c r="E10" s="126">
        <f>IFERROR(('Données Administration'!M20)/1000,0)</f>
        <v>2.9741940403953486</v>
      </c>
      <c r="F10" s="252">
        <f t="shared" si="1"/>
        <v>5.636987352317753E-2</v>
      </c>
      <c r="G10" s="253">
        <f t="shared" si="0"/>
        <v>0.94917739130434786</v>
      </c>
      <c r="I10" s="271" t="s">
        <v>333</v>
      </c>
      <c r="J10" s="129">
        <f>('Données Administration'!K11+'Données Administration'!K23)/1000</f>
        <v>6.2027625000000004</v>
      </c>
      <c r="K10" s="130">
        <f t="shared" si="2"/>
        <v>4.8333418313919831E-2</v>
      </c>
      <c r="N10" s="125"/>
    </row>
    <row r="11" spans="2:14" ht="15.75">
      <c r="B11" s="269" t="s">
        <v>26</v>
      </c>
      <c r="C11" s="126">
        <f>IFERROR('Données Administration'!K28/1000,0)</f>
        <v>3.282435</v>
      </c>
      <c r="D11" s="126">
        <f>IFERROR('Données Administration'!L28/1000,0)</f>
        <v>0</v>
      </c>
      <c r="E11" s="126">
        <f>IFERROR('Données Administration'!M28/1000,0)</f>
        <v>3.282435</v>
      </c>
      <c r="F11" s="252">
        <f t="shared" si="1"/>
        <v>8.4755516354688473E-3</v>
      </c>
      <c r="G11" s="253">
        <f t="shared" si="0"/>
        <v>0.14271456521739131</v>
      </c>
      <c r="I11" s="271" t="s">
        <v>68</v>
      </c>
      <c r="J11" s="129">
        <f>('Données Administration'!K12+'Données Administration'!K24)/1000</f>
        <v>0</v>
      </c>
      <c r="K11" s="130">
        <f t="shared" si="2"/>
        <v>0</v>
      </c>
      <c r="N11" s="125"/>
    </row>
    <row r="12" spans="2:14" ht="15.75">
      <c r="B12" s="268" t="s">
        <v>72</v>
      </c>
      <c r="C12" s="122">
        <f>IFERROR('Données Administration'!K32/1000,0)</f>
        <v>0.91785099999999997</v>
      </c>
      <c r="D12" s="122">
        <f>IFERROR('Données Administration'!L32/1000,0)</f>
        <v>0</v>
      </c>
      <c r="E12" s="122">
        <f>IFERROR('Données Administration'!M32/1000,0)</f>
        <v>0.91785099999999997</v>
      </c>
      <c r="F12" s="250">
        <f t="shared" si="1"/>
        <v>2.3699764181672194E-3</v>
      </c>
      <c r="G12" s="251">
        <f t="shared" si="0"/>
        <v>3.9906565217391304E-2</v>
      </c>
      <c r="I12" s="271" t="s">
        <v>254</v>
      </c>
      <c r="J12" s="129">
        <f>('Données Administration'!K13+'Données Administration'!K25)/1000</f>
        <v>0</v>
      </c>
      <c r="K12" s="130">
        <f t="shared" si="2"/>
        <v>0</v>
      </c>
      <c r="N12" s="125"/>
    </row>
    <row r="13" spans="2:14" ht="15.75">
      <c r="B13" s="267" t="s">
        <v>869</v>
      </c>
      <c r="C13" s="122">
        <f>SUM(C14:C18)</f>
        <v>15.079936778841992</v>
      </c>
      <c r="D13" s="122">
        <f>SUM(D14:D18)</f>
        <v>9.1282799599303797</v>
      </c>
      <c r="E13" s="122">
        <f>SUM(E14:E18)</f>
        <v>5.951656818911613</v>
      </c>
      <c r="F13" s="250">
        <f t="shared" si="1"/>
        <v>3.8937795517255042E-2</v>
      </c>
      <c r="G13" s="251">
        <f t="shared" si="0"/>
        <v>0.65564942516704316</v>
      </c>
      <c r="I13" s="271" t="s">
        <v>67</v>
      </c>
      <c r="J13" s="129">
        <f>('Données Administration'!K14+'Données Administration'!K26)/1000</f>
        <v>0</v>
      </c>
      <c r="K13" s="130">
        <f t="shared" si="2"/>
        <v>0</v>
      </c>
      <c r="N13" s="125"/>
    </row>
    <row r="14" spans="2:14" ht="15.75">
      <c r="B14" s="269" t="s">
        <v>138</v>
      </c>
      <c r="C14" s="126">
        <f>IF('Données Administration'!$G44=0,'Données Administration'!K38,'Données Administration'!K44)/1000</f>
        <v>13.966736778841993</v>
      </c>
      <c r="D14" s="126">
        <f>IF('Données Administration'!$G44=0,'Données Administration'!L38,'Données Administration'!L44)/1000</f>
        <v>8.3996399599303793</v>
      </c>
      <c r="E14" s="126">
        <f>IF('Données Administration'!$G44=0,'Données Administration'!M38,'Données Administration'!M44)/1000</f>
        <v>5.5670968189116135</v>
      </c>
      <c r="F14" s="252">
        <f t="shared" si="1"/>
        <v>3.6063409861300272E-2</v>
      </c>
      <c r="G14" s="253">
        <f t="shared" si="0"/>
        <v>0.60724942516704317</v>
      </c>
      <c r="I14" s="271" t="s">
        <v>26</v>
      </c>
      <c r="J14" s="129">
        <f>('Données Administration'!K15+'Données Administration'!K27+'Données Administration'!K32)/1000</f>
        <v>25.504528999999998</v>
      </c>
      <c r="K14" s="130">
        <f t="shared" si="2"/>
        <v>0.19873742853389909</v>
      </c>
      <c r="N14" s="125"/>
    </row>
    <row r="15" spans="2:14" ht="15.75">
      <c r="B15" s="269" t="s">
        <v>320</v>
      </c>
      <c r="C15" s="126">
        <f>IF('Données Administration'!$G45=0,'Données Administration'!K39,'Données Administration'!K45)/1000</f>
        <v>0.27829999999999999</v>
      </c>
      <c r="D15" s="126">
        <f>IF('Données Administration'!$G45=0,'Données Administration'!L39,'Données Administration'!L45)/1000</f>
        <v>0.22264</v>
      </c>
      <c r="E15" s="126">
        <f>IF('Données Administration'!$G45=0,'Données Administration'!M39,'Données Administration'!M45)/1000</f>
        <v>5.5660000000000001E-2</v>
      </c>
      <c r="F15" s="252">
        <f t="shared" si="1"/>
        <v>7.185964139886944E-4</v>
      </c>
      <c r="G15" s="253">
        <f t="shared" si="0"/>
        <v>1.21E-2</v>
      </c>
      <c r="I15" s="123"/>
      <c r="J15" s="129"/>
      <c r="K15" s="130"/>
      <c r="N15" s="128"/>
    </row>
    <row r="16" spans="2:14" ht="16.5" thickBot="1">
      <c r="B16" s="269" t="s">
        <v>61</v>
      </c>
      <c r="C16" s="126">
        <f>IF('Données Administration'!$G46=0,'Données Administration'!K40,'Données Administration'!K46)/1000</f>
        <v>0.11384999999999999</v>
      </c>
      <c r="D16" s="126">
        <f>IF('Données Administration'!$G46=0,'Données Administration'!L40,'Données Administration'!L46)/1000</f>
        <v>0</v>
      </c>
      <c r="E16" s="126">
        <f>IF('Données Administration'!$G46=0,'Données Administration'!M40,'Données Administration'!M46)/1000</f>
        <v>0.11384999999999999</v>
      </c>
      <c r="F16" s="252">
        <f t="shared" si="1"/>
        <v>2.9397126026810223E-4</v>
      </c>
      <c r="G16" s="253">
        <f t="shared" si="0"/>
        <v>4.9499999999999995E-3</v>
      </c>
      <c r="I16" s="131" t="s">
        <v>35</v>
      </c>
      <c r="J16" s="132">
        <f>SUM(J8:J15)</f>
        <v>128.33279160422282</v>
      </c>
      <c r="K16" s="133">
        <f>IFERROR(J16/$J$16,0)</f>
        <v>1</v>
      </c>
      <c r="L16" s="127"/>
      <c r="M16" s="127"/>
      <c r="N16" s="136"/>
    </row>
    <row r="17" spans="2:14" ht="16.5" thickBot="1">
      <c r="B17" s="269" t="s">
        <v>114</v>
      </c>
      <c r="C17" s="126">
        <f>IF('Données Administration'!$G47=0,'Données Administration'!K41,'Données Administration'!K47)/1000</f>
        <v>0.63249999999999995</v>
      </c>
      <c r="D17" s="126">
        <f>IF('Données Administration'!$G47=0,'Données Administration'!L41,'Données Administration'!L47)/1000</f>
        <v>0.50600000000000012</v>
      </c>
      <c r="E17" s="126">
        <f>IF('Données Administration'!$G47=0,'Données Administration'!M41,'Données Administration'!M47)/1000</f>
        <v>0.12650000000000003</v>
      </c>
      <c r="F17" s="252">
        <f t="shared" si="1"/>
        <v>1.6331736681561234E-3</v>
      </c>
      <c r="G17" s="253">
        <f t="shared" si="0"/>
        <v>2.7499999999999997E-2</v>
      </c>
      <c r="I17" s="134"/>
      <c r="J17" s="135"/>
      <c r="K17" s="135"/>
      <c r="L17" s="135"/>
      <c r="M17" s="135"/>
      <c r="N17" s="136"/>
    </row>
    <row r="18" spans="2:14" ht="15.75">
      <c r="B18" s="269" t="s">
        <v>63</v>
      </c>
      <c r="C18" s="126">
        <f>IF('Données Administration'!$G48=0,'Données Administration'!K42,'Données Administration'!K48)/1000</f>
        <v>8.8550000000000004E-2</v>
      </c>
      <c r="D18" s="126">
        <f>IF('Données Administration'!$G48=0,'Données Administration'!L42,'Données Administration'!L48)/1000</f>
        <v>0</v>
      </c>
      <c r="E18" s="126">
        <f>IF('Données Administration'!$G48=0,'Données Administration'!M42,'Données Administration'!M48)/1000</f>
        <v>8.8550000000000004E-2</v>
      </c>
      <c r="F18" s="252">
        <f t="shared" si="1"/>
        <v>2.2864431354185731E-4</v>
      </c>
      <c r="G18" s="253">
        <f t="shared" si="0"/>
        <v>3.8500000000000001E-3</v>
      </c>
    </row>
    <row r="19" spans="2:14" ht="15.75">
      <c r="B19" s="267" t="s">
        <v>870</v>
      </c>
      <c r="C19" s="122">
        <f>SUM(C20:C23)</f>
        <v>9.1365816069284023</v>
      </c>
      <c r="D19" s="122">
        <f>SUM(D20:D23)</f>
        <v>6.3437974396452574</v>
      </c>
      <c r="E19" s="122">
        <f>SUM(E20:E23)</f>
        <v>2.7927841672831479</v>
      </c>
      <c r="F19" s="250">
        <f t="shared" si="1"/>
        <v>2.3591501181652222E-2</v>
      </c>
      <c r="G19" s="251">
        <f t="shared" si="0"/>
        <v>0.39724267856210443</v>
      </c>
      <c r="I19" s="445"/>
      <c r="J19" s="445"/>
      <c r="K19" s="445"/>
      <c r="L19" s="445"/>
      <c r="M19" s="445"/>
      <c r="N19" s="445"/>
    </row>
    <row r="20" spans="2:14" ht="15.95" customHeight="1">
      <c r="B20" s="269" t="s">
        <v>101</v>
      </c>
      <c r="C20" s="126">
        <f>('Données Administration'!K52+'Données Administration'!K53)/1000</f>
        <v>0</v>
      </c>
      <c r="D20" s="126">
        <f>('Données Administration'!L52+'Données Administration'!L53)/1000</f>
        <v>0</v>
      </c>
      <c r="E20" s="126">
        <f>('Données Administration'!M52+'Données Administration'!M53)/1000</f>
        <v>0</v>
      </c>
      <c r="F20" s="252">
        <f t="shared" si="1"/>
        <v>0</v>
      </c>
      <c r="G20" s="253">
        <f t="shared" si="0"/>
        <v>0</v>
      </c>
      <c r="I20" s="445"/>
      <c r="J20" s="445"/>
      <c r="K20" s="445"/>
      <c r="L20" s="445"/>
      <c r="M20" s="445"/>
      <c r="N20" s="445"/>
    </row>
    <row r="21" spans="2:14" ht="17.100000000000001" customHeight="1">
      <c r="B21" s="269" t="s">
        <v>104</v>
      </c>
      <c r="C21" s="126">
        <f>SUM('Données Administration'!K55:K63)/1000</f>
        <v>0</v>
      </c>
      <c r="D21" s="126">
        <f>SUM('Données Administration'!L55:L63)/1000</f>
        <v>0</v>
      </c>
      <c r="E21" s="126">
        <f>SUM('Données Administration'!M55:M63)/1000</f>
        <v>0</v>
      </c>
      <c r="F21" s="252">
        <f t="shared" si="1"/>
        <v>0</v>
      </c>
      <c r="G21" s="253">
        <f t="shared" si="0"/>
        <v>0</v>
      </c>
    </row>
    <row r="22" spans="2:14" ht="17.100000000000001" customHeight="1">
      <c r="B22" s="269" t="s">
        <v>112</v>
      </c>
      <c r="C22" s="126">
        <f>SUM('Données Administration'!K65:K67)/1000</f>
        <v>3.0640873552579717</v>
      </c>
      <c r="D22" s="126">
        <f>SUM('Données Administration'!L65:L67)/1000</f>
        <v>2.6917800657624831</v>
      </c>
      <c r="E22" s="126">
        <f>SUM('Données Administration'!M65:M67)/1000</f>
        <v>0.37230728949548914</v>
      </c>
      <c r="F22" s="252">
        <f t="shared" si="1"/>
        <v>7.9117577636955844E-3</v>
      </c>
      <c r="G22" s="253">
        <f t="shared" si="0"/>
        <v>0.13322118935904226</v>
      </c>
      <c r="I22" s="446"/>
      <c r="J22" s="260"/>
      <c r="K22" s="260"/>
      <c r="L22" s="260"/>
      <c r="M22" s="260"/>
      <c r="N22" s="260"/>
    </row>
    <row r="23" spans="2:14" ht="17.100000000000001" customHeight="1">
      <c r="B23" s="269" t="s">
        <v>319</v>
      </c>
      <c r="C23" s="126">
        <f>SUM('Données Administration'!K70:K74)/1000</f>
        <v>6.072494251670431</v>
      </c>
      <c r="D23" s="126">
        <f>SUM('Données Administration'!L70:L74)/1000</f>
        <v>3.6520173738827739</v>
      </c>
      <c r="E23" s="126">
        <f>SUM('Données Administration'!M70:M74)/1000</f>
        <v>2.4204768777876589</v>
      </c>
      <c r="F23" s="252">
        <f t="shared" si="1"/>
        <v>1.5679743417956638E-2</v>
      </c>
      <c r="G23" s="253">
        <f t="shared" si="0"/>
        <v>0.26402148920306223</v>
      </c>
      <c r="I23" s="446"/>
      <c r="J23" s="260"/>
      <c r="K23" s="260"/>
      <c r="L23" s="260"/>
      <c r="M23" s="260"/>
      <c r="N23" s="260"/>
    </row>
    <row r="24" spans="2:14" ht="17.100000000000001" customHeight="1">
      <c r="B24" s="267" t="s">
        <v>46</v>
      </c>
      <c r="C24" s="122">
        <f>SUM(C25:C27)</f>
        <v>196</v>
      </c>
      <c r="D24" s="122">
        <f>SUM(D25:D27)</f>
        <v>0</v>
      </c>
      <c r="E24" s="122">
        <f>SUM(E25:E27)</f>
        <v>196</v>
      </c>
      <c r="F24" s="250">
        <f t="shared" si="1"/>
        <v>0.50609018017169993</v>
      </c>
      <c r="G24" s="251">
        <f t="shared" si="0"/>
        <v>8.5217391304347831</v>
      </c>
      <c r="J24" s="129"/>
      <c r="K24" s="138"/>
    </row>
    <row r="25" spans="2:14" ht="17.100000000000001" customHeight="1">
      <c r="B25" s="269" t="s">
        <v>145</v>
      </c>
      <c r="C25" s="126">
        <f>'Données Administration'!K106/1000</f>
        <v>49</v>
      </c>
      <c r="D25" s="126">
        <f>'Données Administration'!L106/1000</f>
        <v>0</v>
      </c>
      <c r="E25" s="126">
        <f>'Données Administration'!M106/1000</f>
        <v>49</v>
      </c>
      <c r="F25" s="252">
        <f t="shared" si="1"/>
        <v>0.12652254504292498</v>
      </c>
      <c r="G25" s="253">
        <f t="shared" si="0"/>
        <v>2.1304347826086958</v>
      </c>
      <c r="J25" s="129"/>
      <c r="K25" s="138"/>
    </row>
    <row r="26" spans="2:14" ht="17.100000000000001" customHeight="1">
      <c r="B26" s="269" t="s">
        <v>146</v>
      </c>
      <c r="C26" s="126">
        <f>'Données Administration'!K107/1000</f>
        <v>24.5</v>
      </c>
      <c r="D26" s="126">
        <f>'Données Administration'!L107/1000</f>
        <v>0</v>
      </c>
      <c r="E26" s="126">
        <f>'Données Administration'!M107/1000</f>
        <v>24.5</v>
      </c>
      <c r="F26" s="252">
        <f t="shared" si="1"/>
        <v>6.3261272521462492E-2</v>
      </c>
      <c r="G26" s="253">
        <f t="shared" si="0"/>
        <v>1.0652173913043479</v>
      </c>
      <c r="J26" s="129"/>
      <c r="K26" s="138"/>
    </row>
    <row r="27" spans="2:14" ht="17.100000000000001" customHeight="1">
      <c r="B27" s="269" t="s">
        <v>368</v>
      </c>
      <c r="C27" s="126">
        <f>'Données Administration'!K108/1000</f>
        <v>122.5</v>
      </c>
      <c r="D27" s="126">
        <f>'Données Administration'!L108/1000</f>
        <v>0</v>
      </c>
      <c r="E27" s="126">
        <f>'Données Administration'!M108/1000</f>
        <v>122.5</v>
      </c>
      <c r="F27" s="252">
        <f>IFERROR(C27/$C$33,0)</f>
        <v>0.31630636260731249</v>
      </c>
      <c r="G27" s="253">
        <f t="shared" si="0"/>
        <v>5.3260869565217392</v>
      </c>
      <c r="J27" s="129"/>
      <c r="K27" s="138"/>
    </row>
    <row r="28" spans="2:14" ht="17.100000000000001" customHeight="1">
      <c r="B28" s="267" t="s">
        <v>116</v>
      </c>
      <c r="C28" s="122">
        <f>SUM(C29:C32)</f>
        <v>38.733446481399994</v>
      </c>
      <c r="D28" s="122">
        <f>SUM(D29:D32)</f>
        <v>34.235819999999997</v>
      </c>
      <c r="E28" s="122">
        <f>SUM(E29:E32)</f>
        <v>38.733446481399994</v>
      </c>
      <c r="F28" s="250">
        <f t="shared" si="1"/>
        <v>0.10001335157368685</v>
      </c>
      <c r="G28" s="251">
        <f t="shared" si="0"/>
        <v>1.6840628904956518</v>
      </c>
      <c r="J28" s="129"/>
      <c r="K28" s="138"/>
    </row>
    <row r="29" spans="2:14" ht="17.100000000000001" customHeight="1">
      <c r="B29" s="269" t="s">
        <v>117</v>
      </c>
      <c r="C29" s="126">
        <f>'Données Administration'!K78/1000</f>
        <v>34.235819999999997</v>
      </c>
      <c r="D29" s="126">
        <f>'Données Administration'!L78/1000</f>
        <v>34.235819999999997</v>
      </c>
      <c r="E29" s="126">
        <f>'Données Administration'!M78/1000</f>
        <v>34.235819999999997</v>
      </c>
      <c r="F29" s="252">
        <f t="shared" si="1"/>
        <v>8.8400062816968814E-2</v>
      </c>
      <c r="G29" s="253">
        <f t="shared" si="0"/>
        <v>1.4885139130434781</v>
      </c>
      <c r="J29" s="129"/>
      <c r="K29" s="138"/>
    </row>
    <row r="30" spans="2:14" ht="17.100000000000001" customHeight="1">
      <c r="B30" s="269" t="s">
        <v>125</v>
      </c>
      <c r="C30" s="126">
        <f>'Données Administration'!K84/1000</f>
        <v>0.2028365214</v>
      </c>
      <c r="D30" s="126">
        <f>'Données Administration'!L84/1000</f>
        <v>0</v>
      </c>
      <c r="E30" s="126">
        <f>'Données Administration'!M84/1000</f>
        <v>0.2028365214</v>
      </c>
      <c r="F30" s="252">
        <f t="shared" si="1"/>
        <v>5.2374271255472898E-4</v>
      </c>
      <c r="G30" s="253">
        <f t="shared" si="0"/>
        <v>8.8189791913043485E-3</v>
      </c>
      <c r="I30" s="247"/>
      <c r="J30" s="248"/>
      <c r="K30" s="249"/>
    </row>
    <row r="31" spans="2:14" ht="17.100000000000001" customHeight="1">
      <c r="B31" s="269" t="s">
        <v>136</v>
      </c>
      <c r="C31" s="126">
        <f>'Données Administration'!K92/1000</f>
        <v>4.2947899599999992</v>
      </c>
      <c r="D31" s="126">
        <f>'Données Administration'!L92/1000</f>
        <v>0</v>
      </c>
      <c r="E31" s="126">
        <f>'Données Administration'!M92/1000</f>
        <v>4.2947899599999992</v>
      </c>
      <c r="F31" s="252">
        <f t="shared" si="1"/>
        <v>1.1089546044163305E-2</v>
      </c>
      <c r="G31" s="253">
        <f t="shared" si="0"/>
        <v>0.18672999826086953</v>
      </c>
    </row>
    <row r="32" spans="2:14" ht="17.100000000000001" customHeight="1">
      <c r="B32" s="269" t="s">
        <v>141</v>
      </c>
      <c r="C32" s="126">
        <f>'Données Administration'!K100/1000</f>
        <v>0</v>
      </c>
      <c r="D32" s="126">
        <f>'Données Administration'!L100/1000</f>
        <v>0</v>
      </c>
      <c r="E32" s="126">
        <f>'Données Administration'!M100/1000</f>
        <v>0</v>
      </c>
      <c r="F32" s="252">
        <f t="shared" si="1"/>
        <v>0</v>
      </c>
      <c r="G32" s="253">
        <f t="shared" si="0"/>
        <v>0</v>
      </c>
    </row>
    <row r="33" spans="2:7" ht="17.100000000000001" customHeight="1">
      <c r="B33" s="270" t="s">
        <v>35</v>
      </c>
      <c r="C33" s="254">
        <f>C5+C13+C24+C28+C19</f>
        <v>387.28275647139321</v>
      </c>
      <c r="D33" s="254">
        <f>D5+D13+D24+D28+D19</f>
        <v>133.22851803155237</v>
      </c>
      <c r="E33" s="254">
        <f>E5+E13+E24+E28+E19</f>
        <v>286.828999521772</v>
      </c>
      <c r="F33" s="255">
        <f>IFERROR(C33/$C$33,0)</f>
        <v>1</v>
      </c>
      <c r="G33" s="256">
        <f>IFERROR(C33/Employés_com,0)</f>
        <v>16.83838071614753</v>
      </c>
    </row>
    <row r="34" spans="2:7" ht="17.100000000000001" customHeight="1"/>
    <row r="35" spans="2:7" ht="17.100000000000001" customHeight="1"/>
  </sheetData>
  <sheetProtection algorithmName="SHA-512" hashValue="yJiAk5Inv/0sb9VIlnk5MjW7SdE08/zmGewr9TUDq8JiDrPOx+1/bezX8p/NcouvWl0Lj9zPgo5u38oZb0SPmQ==" saltValue="5Jmrh1xQ8zOEQjwe0v9xew==" spinCount="100000" sheet="1"/>
  <mergeCells count="4">
    <mergeCell ref="I4:N4"/>
    <mergeCell ref="I6:I7"/>
    <mergeCell ref="I19:N20"/>
    <mergeCell ref="I22:I23"/>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7D5831-8336-4240-AF81-D2FF85A4863D}">
  <sheetPr codeName="Sheet8">
    <tabColor theme="4"/>
  </sheetPr>
  <dimension ref="A1:D17"/>
  <sheetViews>
    <sheetView zoomScale="120" zoomScaleNormal="120" workbookViewId="0">
      <selection activeCell="B12" sqref="B12"/>
    </sheetView>
  </sheetViews>
  <sheetFormatPr baseColWidth="10" defaultRowHeight="15.75"/>
  <cols>
    <col min="1" max="1" width="35.125" customWidth="1"/>
    <col min="2" max="2" width="21.375" customWidth="1"/>
    <col min="3" max="3" width="26.5" customWidth="1"/>
    <col min="4" max="4" width="25.375" customWidth="1"/>
  </cols>
  <sheetData>
    <row r="1" spans="1:4" ht="31.5">
      <c r="A1" s="35" t="s">
        <v>168</v>
      </c>
      <c r="B1" s="36" t="s">
        <v>169</v>
      </c>
      <c r="C1" s="36" t="s">
        <v>170</v>
      </c>
      <c r="D1" s="36" t="s">
        <v>171</v>
      </c>
    </row>
    <row r="2" spans="1:4">
      <c r="A2" s="37" t="s">
        <v>40</v>
      </c>
      <c r="B2" s="38">
        <v>4430000</v>
      </c>
      <c r="C2" s="39">
        <f>B2/$B$10</f>
        <v>0.51846053034884199</v>
      </c>
      <c r="D2" s="28">
        <f>C2*1000</f>
        <v>518.46053034884198</v>
      </c>
    </row>
    <row r="3" spans="1:4">
      <c r="A3" s="37" t="s">
        <v>41</v>
      </c>
      <c r="B3" s="38">
        <v>5320000</v>
      </c>
      <c r="C3" s="39">
        <f>B3/$B$10</f>
        <v>0.62262077233766133</v>
      </c>
      <c r="D3" s="28">
        <f>C3*1000</f>
        <v>622.62077233766138</v>
      </c>
    </row>
    <row r="4" spans="1:4">
      <c r="A4" s="37" t="s">
        <v>42</v>
      </c>
      <c r="B4" s="38">
        <v>5790000</v>
      </c>
      <c r="C4" s="39">
        <f>B4/$B$10</f>
        <v>0.67762674282613888</v>
      </c>
      <c r="D4" s="28">
        <f>C4*1000</f>
        <v>677.62674282613887</v>
      </c>
    </row>
    <row r="5" spans="1:4">
      <c r="A5" t="s">
        <v>43</v>
      </c>
      <c r="B5" s="38">
        <v>6970000</v>
      </c>
      <c r="C5" s="39">
        <f>B5/$B$10</f>
        <v>0.8157268389461465</v>
      </c>
      <c r="D5" s="28">
        <f>C5*1000</f>
        <v>815.72683894614647</v>
      </c>
    </row>
    <row r="6" spans="1:4">
      <c r="A6" s="37" t="s">
        <v>44</v>
      </c>
      <c r="B6" s="38">
        <v>4820000</v>
      </c>
      <c r="C6" s="39">
        <f>B6/$B$10</f>
        <v>0.56410378245630211</v>
      </c>
      <c r="D6" s="28">
        <f>C6*1000</f>
        <v>564.10378245630216</v>
      </c>
    </row>
    <row r="9" spans="1:4">
      <c r="A9" s="33" t="s">
        <v>172</v>
      </c>
      <c r="B9" s="33" t="s">
        <v>173</v>
      </c>
      <c r="C9" s="33" t="s">
        <v>49</v>
      </c>
      <c r="D9" s="33" t="s">
        <v>153</v>
      </c>
    </row>
    <row r="10" spans="1:4">
      <c r="A10" t="s">
        <v>174</v>
      </c>
      <c r="B10" s="40">
        <v>8544527</v>
      </c>
      <c r="C10" t="s">
        <v>163</v>
      </c>
      <c r="D10" t="s">
        <v>175</v>
      </c>
    </row>
    <row r="11" spans="1:4">
      <c r="A11" t="s">
        <v>255</v>
      </c>
      <c r="B11" s="40">
        <v>806088</v>
      </c>
      <c r="C11" t="s">
        <v>163</v>
      </c>
      <c r="D11" t="s">
        <v>175</v>
      </c>
    </row>
    <row r="12" spans="1:4">
      <c r="A12" t="s">
        <v>176</v>
      </c>
      <c r="B12" s="40">
        <v>2</v>
      </c>
      <c r="C12" t="s">
        <v>177</v>
      </c>
      <c r="D12" t="s">
        <v>178</v>
      </c>
    </row>
    <row r="13" spans="1:4">
      <c r="A13" t="s">
        <v>179</v>
      </c>
      <c r="B13" s="40">
        <v>689545</v>
      </c>
      <c r="C13" t="s">
        <v>180</v>
      </c>
      <c r="D13" t="s">
        <v>175</v>
      </c>
    </row>
    <row r="14" spans="1:4">
      <c r="A14" t="s">
        <v>256</v>
      </c>
      <c r="B14" s="40">
        <v>59794</v>
      </c>
      <c r="C14" t="s">
        <v>180</v>
      </c>
      <c r="D14" t="s">
        <v>257</v>
      </c>
    </row>
    <row r="15" spans="1:4">
      <c r="A15" t="s">
        <v>181</v>
      </c>
      <c r="B15" s="41">
        <f>B14/B13</f>
        <v>8.6715152745651114E-2</v>
      </c>
    </row>
    <row r="16" spans="1:4">
      <c r="A16" t="s">
        <v>182</v>
      </c>
      <c r="B16" s="42">
        <v>0.25</v>
      </c>
      <c r="C16" t="s">
        <v>183</v>
      </c>
    </row>
    <row r="17" spans="1:3">
      <c r="A17" t="s">
        <v>258</v>
      </c>
      <c r="B17" s="40">
        <v>160</v>
      </c>
      <c r="C17" t="s">
        <v>259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AD13C7-05F1-E745-9704-D638DBDBE113}">
  <sheetPr codeName="Sheet9">
    <tabColor theme="4"/>
  </sheetPr>
  <dimension ref="A1:L29"/>
  <sheetViews>
    <sheetView workbookViewId="0">
      <selection activeCell="B1" sqref="B1"/>
    </sheetView>
  </sheetViews>
  <sheetFormatPr baseColWidth="10" defaultRowHeight="15.75"/>
  <cols>
    <col min="1" max="1" width="34" customWidth="1"/>
    <col min="2" max="4" width="20.875" customWidth="1"/>
    <col min="5" max="5" width="29.125" customWidth="1"/>
    <col min="6" max="6" width="24" customWidth="1"/>
    <col min="7" max="7" width="20.875" customWidth="1"/>
    <col min="8" max="8" width="25" customWidth="1"/>
    <col min="9" max="9" width="25.125" customWidth="1"/>
    <col min="10" max="10" width="22.875" customWidth="1"/>
    <col min="11" max="11" width="17.5" customWidth="1"/>
    <col min="12" max="12" width="22.125" customWidth="1"/>
  </cols>
  <sheetData>
    <row r="1" spans="1:12">
      <c r="A1" s="43" t="s">
        <v>184</v>
      </c>
      <c r="B1" s="43" t="s">
        <v>679</v>
      </c>
      <c r="C1" s="43" t="s">
        <v>674</v>
      </c>
      <c r="D1" s="43" t="s">
        <v>678</v>
      </c>
      <c r="E1" s="43" t="s">
        <v>676</v>
      </c>
      <c r="F1" s="43" t="s">
        <v>675</v>
      </c>
      <c r="G1" s="43" t="s">
        <v>673</v>
      </c>
      <c r="H1" s="43" t="s">
        <v>677</v>
      </c>
      <c r="I1" s="43" t="s">
        <v>185</v>
      </c>
      <c r="J1" s="43" t="s">
        <v>36</v>
      </c>
      <c r="K1" s="43" t="s">
        <v>325</v>
      </c>
      <c r="L1" s="43" t="s">
        <v>329</v>
      </c>
    </row>
    <row r="2" spans="1:12">
      <c r="A2" s="32" t="s">
        <v>187</v>
      </c>
      <c r="B2" s="113">
        <v>18.3</v>
      </c>
      <c r="C2" s="44">
        <v>32.799999999999997</v>
      </c>
      <c r="D2" s="44">
        <v>23.1</v>
      </c>
      <c r="E2" s="44">
        <v>31.3</v>
      </c>
      <c r="F2" s="44">
        <v>33.200000000000003</v>
      </c>
      <c r="G2" s="44">
        <v>39.9</v>
      </c>
      <c r="H2" s="44">
        <v>40.6</v>
      </c>
      <c r="I2" s="34">
        <v>0.88200000000000001</v>
      </c>
      <c r="J2" s="29">
        <f>I2*$J$7</f>
        <v>35.28</v>
      </c>
      <c r="K2" s="29">
        <v>31.2</v>
      </c>
      <c r="L2">
        <v>10</v>
      </c>
    </row>
    <row r="3" spans="1:12">
      <c r="A3" s="32" t="s">
        <v>188</v>
      </c>
      <c r="B3" s="113">
        <v>0.3</v>
      </c>
      <c r="C3" s="44">
        <v>0.4</v>
      </c>
      <c r="D3" s="44">
        <v>0.6</v>
      </c>
      <c r="E3" s="44">
        <v>1.4</v>
      </c>
      <c r="F3" s="44">
        <v>0.4</v>
      </c>
      <c r="G3" s="44">
        <v>1.1000000000000001</v>
      </c>
      <c r="H3" s="44">
        <v>0.6</v>
      </c>
      <c r="I3" s="34">
        <v>6.0000000000000001E-3</v>
      </c>
      <c r="J3" s="29">
        <f>I3*$J$7</f>
        <v>0.24</v>
      </c>
      <c r="K3" s="29">
        <v>0.8</v>
      </c>
      <c r="L3">
        <v>0.5</v>
      </c>
    </row>
    <row r="4" spans="1:12">
      <c r="A4" s="32" t="s">
        <v>61</v>
      </c>
      <c r="B4" s="113">
        <v>9</v>
      </c>
      <c r="C4" s="44">
        <v>7.4</v>
      </c>
      <c r="D4" s="44">
        <v>8.5</v>
      </c>
      <c r="E4" s="44">
        <v>5.9</v>
      </c>
      <c r="F4" s="44">
        <v>7</v>
      </c>
      <c r="G4" s="44">
        <v>4.8</v>
      </c>
      <c r="H4" s="44">
        <v>5.9</v>
      </c>
      <c r="I4" s="34">
        <v>0.09</v>
      </c>
      <c r="J4" s="29">
        <f>I4*$J$7</f>
        <v>3.5999999999999996</v>
      </c>
      <c r="K4" s="29">
        <v>6.8</v>
      </c>
      <c r="L4">
        <v>2.5</v>
      </c>
    </row>
    <row r="5" spans="1:12">
      <c r="A5" s="32" t="s">
        <v>189</v>
      </c>
      <c r="B5" s="113">
        <v>2.2999999999999998</v>
      </c>
      <c r="C5" s="44">
        <v>1</v>
      </c>
      <c r="D5" s="44">
        <v>2.1</v>
      </c>
      <c r="E5" s="44">
        <v>2.1</v>
      </c>
      <c r="F5" s="44">
        <v>0.9</v>
      </c>
      <c r="G5" s="44">
        <v>1.5</v>
      </c>
      <c r="H5" s="44">
        <v>0.7</v>
      </c>
      <c r="I5" s="34">
        <v>0.01</v>
      </c>
      <c r="J5" s="29">
        <f>I5*$J$7</f>
        <v>0.4</v>
      </c>
      <c r="K5" s="29">
        <v>1.6</v>
      </c>
      <c r="L5">
        <v>2.5</v>
      </c>
    </row>
    <row r="6" spans="1:12">
      <c r="A6" s="32" t="s">
        <v>63</v>
      </c>
      <c r="B6" s="113">
        <v>2.8</v>
      </c>
      <c r="C6" s="44">
        <v>2.6</v>
      </c>
      <c r="D6" s="44">
        <v>2.2999999999999998</v>
      </c>
      <c r="E6" s="44">
        <v>2.4</v>
      </c>
      <c r="F6" s="44">
        <v>2.7</v>
      </c>
      <c r="G6" s="44">
        <v>2.1</v>
      </c>
      <c r="H6" s="44">
        <v>1.9</v>
      </c>
      <c r="I6" s="34">
        <v>1.0999999999999999E-2</v>
      </c>
      <c r="J6" s="29">
        <f>I6*$J$7</f>
        <v>0.43999999999999995</v>
      </c>
      <c r="K6" s="29">
        <v>2.4</v>
      </c>
      <c r="L6">
        <v>2.5</v>
      </c>
    </row>
    <row r="7" spans="1:12">
      <c r="A7" s="30"/>
      <c r="B7" s="114">
        <f>SUM(B2:B6)</f>
        <v>32.700000000000003</v>
      </c>
      <c r="C7" s="115">
        <f t="shared" ref="C7:H7" si="0">SUM(C2:C6)</f>
        <v>44.199999999999996</v>
      </c>
      <c r="D7" s="115">
        <f t="shared" si="0"/>
        <v>36.6</v>
      </c>
      <c r="E7" s="115">
        <f t="shared" si="0"/>
        <v>43.1</v>
      </c>
      <c r="F7" s="115">
        <f t="shared" si="0"/>
        <v>44.2</v>
      </c>
      <c r="G7" s="115">
        <f t="shared" si="0"/>
        <v>49.4</v>
      </c>
      <c r="H7" s="115">
        <f t="shared" si="0"/>
        <v>49.7</v>
      </c>
      <c r="I7" s="116">
        <f>SUM(I2:I6)</f>
        <v>0.999</v>
      </c>
      <c r="J7" s="30">
        <v>40</v>
      </c>
      <c r="K7" s="30"/>
    </row>
    <row r="9" spans="1:12">
      <c r="A9" s="45" t="s">
        <v>190</v>
      </c>
      <c r="C9" s="45" t="s">
        <v>191</v>
      </c>
      <c r="D9" s="45" t="s">
        <v>192</v>
      </c>
      <c r="E9" s="45" t="s">
        <v>193</v>
      </c>
      <c r="F9" s="45" t="s">
        <v>194</v>
      </c>
    </row>
    <row r="10" spans="1:12">
      <c r="A10" s="32">
        <v>10687</v>
      </c>
      <c r="C10" s="32" t="s">
        <v>195</v>
      </c>
      <c r="D10" s="104"/>
      <c r="E10" s="104"/>
      <c r="F10" s="105"/>
    </row>
    <row r="13" spans="1:12">
      <c r="A13" s="447" t="s">
        <v>196</v>
      </c>
      <c r="B13" s="447"/>
      <c r="C13" s="447"/>
      <c r="E13" s="45" t="s">
        <v>326</v>
      </c>
      <c r="F13" s="45" t="s">
        <v>197</v>
      </c>
    </row>
    <row r="14" spans="1:12">
      <c r="A14" s="32"/>
      <c r="B14" s="46" t="s">
        <v>198</v>
      </c>
      <c r="C14" s="46"/>
      <c r="E14" s="44">
        <v>1.8</v>
      </c>
      <c r="F14" s="44">
        <v>1.1000000000000001</v>
      </c>
    </row>
    <row r="15" spans="1:12">
      <c r="A15" s="32" t="s">
        <v>108</v>
      </c>
      <c r="B15" s="34">
        <f>C15/$C$20</f>
        <v>0.67030150832015556</v>
      </c>
      <c r="C15" s="38">
        <v>3099442</v>
      </c>
    </row>
    <row r="16" spans="1:12">
      <c r="A16" s="32" t="s">
        <v>105</v>
      </c>
      <c r="B16" s="34">
        <f>C16/$C$20</f>
        <v>0.29901802613867962</v>
      </c>
      <c r="C16" s="38">
        <v>1382645</v>
      </c>
    </row>
    <row r="17" spans="1:5">
      <c r="A17" s="32" t="s">
        <v>199</v>
      </c>
      <c r="B17" s="34">
        <f>C17/$C$20</f>
        <v>2.1280281456208888E-2</v>
      </c>
      <c r="C17" s="38">
        <v>98399</v>
      </c>
    </row>
    <row r="18" spans="1:5">
      <c r="A18" s="32" t="s">
        <v>65</v>
      </c>
      <c r="B18" s="34">
        <f>C18/$C$20</f>
        <v>3.1899120060069827E-3</v>
      </c>
      <c r="C18" s="38">
        <v>14750</v>
      </c>
    </row>
    <row r="19" spans="1:5">
      <c r="A19" s="32" t="s">
        <v>200</v>
      </c>
      <c r="B19" s="34">
        <f>C19/$C$20</f>
        <v>6.2102720789489162E-3</v>
      </c>
      <c r="C19" s="38">
        <v>28716</v>
      </c>
    </row>
    <row r="20" spans="1:5">
      <c r="A20" s="32" t="s">
        <v>35</v>
      </c>
      <c r="B20" s="32"/>
      <c r="C20" s="47">
        <f>SUM(C15:C19)</f>
        <v>4623952</v>
      </c>
    </row>
    <row r="23" spans="1:5" ht="31.5">
      <c r="A23" s="31" t="s">
        <v>201</v>
      </c>
      <c r="B23" s="31" t="s">
        <v>49</v>
      </c>
      <c r="C23" s="48" t="s">
        <v>154</v>
      </c>
      <c r="D23" s="48" t="s">
        <v>154</v>
      </c>
      <c r="E23" s="48" t="s">
        <v>154</v>
      </c>
    </row>
    <row r="24" spans="1:5">
      <c r="A24" s="32" t="s">
        <v>304</v>
      </c>
      <c r="B24" s="34" t="s">
        <v>202</v>
      </c>
      <c r="C24">
        <v>0.32</v>
      </c>
      <c r="D24">
        <v>0.19700000000000001</v>
      </c>
      <c r="E24">
        <f>C24-D24</f>
        <v>0.123</v>
      </c>
    </row>
    <row r="25" spans="1:5">
      <c r="A25" s="32" t="s">
        <v>302</v>
      </c>
      <c r="B25" s="34" t="s">
        <v>202</v>
      </c>
      <c r="C25">
        <v>0.27500000000000002</v>
      </c>
      <c r="D25">
        <v>0.158</v>
      </c>
      <c r="E25">
        <f>C25-D25</f>
        <v>0.11700000000000002</v>
      </c>
    </row>
    <row r="26" spans="1:5">
      <c r="A26" s="32" t="s">
        <v>306</v>
      </c>
      <c r="B26" s="34" t="s">
        <v>202</v>
      </c>
      <c r="C26">
        <v>0.248</v>
      </c>
      <c r="D26">
        <v>0.13200000000000001</v>
      </c>
      <c r="E26">
        <f>C26-D26</f>
        <v>0.11599999999999999</v>
      </c>
    </row>
    <row r="27" spans="1:5">
      <c r="A27" s="32" t="s">
        <v>305</v>
      </c>
      <c r="B27" s="34" t="s">
        <v>202</v>
      </c>
      <c r="C27">
        <v>0.255</v>
      </c>
      <c r="D27">
        <v>0.156</v>
      </c>
      <c r="E27">
        <f>C27-D27</f>
        <v>9.9000000000000005E-2</v>
      </c>
    </row>
    <row r="28" spans="1:5">
      <c r="A28" s="32" t="s">
        <v>303</v>
      </c>
      <c r="B28" s="34" t="s">
        <v>202</v>
      </c>
      <c r="C28">
        <v>0.13</v>
      </c>
      <c r="D28">
        <v>0</v>
      </c>
      <c r="E28">
        <f>C28-D28</f>
        <v>0.13</v>
      </c>
    </row>
    <row r="29" spans="1:5">
      <c r="A29" s="32" t="s">
        <v>59</v>
      </c>
      <c r="B29" s="32" t="s">
        <v>202</v>
      </c>
      <c r="C29" s="49">
        <f>$B$15*C24+$B$16*C25+$B$17*C26+$B$18*C27+$B$19*C28</f>
        <v>0.30362471258352158</v>
      </c>
      <c r="D29" s="49">
        <f>$B$15*D24+$B$16*D25+$B$17*D26+$B$18*D27+$B$19*D28</f>
        <v>0.18260086869413869</v>
      </c>
      <c r="E29" s="49">
        <f>$B$15*E24+$B$16*E25+$B$17*E26+$B$18*E27+$B$19*E28</f>
        <v>0.12102384388938293</v>
      </c>
    </row>
  </sheetData>
  <mergeCells count="1">
    <mergeCell ref="A13:C13"/>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5F4E074010AB04BAE0CF44B33CC78B6" ma:contentTypeVersion="13" ma:contentTypeDescription="Crée un document." ma:contentTypeScope="" ma:versionID="86aa3e6eb57bbb3b4bbd8a4022ee0c6b">
  <xsd:schema xmlns:xsd="http://www.w3.org/2001/XMLSchema" xmlns:xs="http://www.w3.org/2001/XMLSchema" xmlns:p="http://schemas.microsoft.com/office/2006/metadata/properties" xmlns:ns2="5aad6c4c-ea76-4879-8545-117a27d4f115" xmlns:ns3="617e7694-e069-4b0f-8e8a-413e7ef7a2ca" targetNamespace="http://schemas.microsoft.com/office/2006/metadata/properties" ma:root="true" ma:fieldsID="7ff2df4b687fbe2b810aaaaab43df197" ns2:_="" ns3:_="">
    <xsd:import namespace="5aad6c4c-ea76-4879-8545-117a27d4f115"/>
    <xsd:import namespace="617e7694-e069-4b0f-8e8a-413e7ef7a2ca"/>
    <xsd:element name="properties">
      <xsd:complexType>
        <xsd:sequence>
          <xsd:element name="documentManagement">
            <xsd:complexType>
              <xsd:all>
                <xsd:element ref="ns2:lcf76f155ced4ddcb4097134ff3c332f" minOccurs="0"/>
                <xsd:element ref="ns3:TaxCatchAll" minOccurs="0"/>
                <xsd:element ref="ns2:MediaServiceMetadata" minOccurs="0"/>
                <xsd:element ref="ns2:MediaServiceFastMetadata" minOccurs="0"/>
                <xsd:element ref="ns2:MediaServiceDateTaken" minOccurs="0"/>
                <xsd:element ref="ns2:MediaServiceGenerationTime" minOccurs="0"/>
                <xsd:element ref="ns2:MediaServiceEventHashCode" minOccurs="0"/>
                <xsd:element ref="ns2:MediaServiceOCR" minOccurs="0"/>
                <xsd:element ref="ns2:MediaLengthInSeconds" minOccurs="0"/>
                <xsd:element ref="ns2:MediaServiceObjectDetectorVersion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aad6c4c-ea76-4879-8545-117a27d4f115" elementFormDefault="qualified">
    <xsd:import namespace="http://schemas.microsoft.com/office/2006/documentManagement/types"/>
    <xsd:import namespace="http://schemas.microsoft.com/office/infopath/2007/PartnerControls"/>
    <xsd:element name="lcf76f155ced4ddcb4097134ff3c332f" ma:index="9" nillable="true" ma:taxonomy="true" ma:internalName="lcf76f155ced4ddcb4097134ff3c332f" ma:taxonomyFieldName="MediaServiceImageTags" ma:displayName="Balises d’images" ma:readOnly="false" ma:fieldId="{5cf76f15-5ced-4ddc-b409-7134ff3c332f}" ma:taxonomyMulti="true" ma:sspId="68f0f894-8061-4e09-9a30-005ca864302a" ma:termSetId="09814cd3-568e-fe90-9814-8d621ff8fb84" ma:anchorId="fba54fb3-c3e1-fe81-a776-ca4b69148c4d" ma:open="true" ma:isKeyword="false">
      <xsd:complexType>
        <xsd:sequence>
          <xsd:element ref="pc:Terms" minOccurs="0" maxOccurs="1"/>
        </xsd:sequence>
      </xsd:complex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LengthInSeconds" ma:index="17" nillable="true" ma:displayName="MediaLengthInSeconds" ma:hidden="true" ma:internalName="MediaLengthInSeconds" ma:readOnly="true">
      <xsd:simpleType>
        <xsd:restriction base="dms:Unknown"/>
      </xsd:simpleType>
    </xsd:element>
    <xsd:element name="MediaServiceObjectDetectorVersions" ma:index="18"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17e7694-e069-4b0f-8e8a-413e7ef7a2ca"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c0be0877-52a2-43aa-a614-8cc9082bc290}" ma:internalName="TaxCatchAll" ma:showField="CatchAllData" ma:web="617e7694-e069-4b0f-8e8a-413e7ef7a2ca">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Partagé avec dé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617e7694-e069-4b0f-8e8a-413e7ef7a2ca" xsi:nil="true"/>
    <lcf76f155ced4ddcb4097134ff3c332f xmlns="5aad6c4c-ea76-4879-8545-117a27d4f115">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3B592B97-A27B-485D-A6B7-BCD556D851B4}"/>
</file>

<file path=customXml/itemProps2.xml><?xml version="1.0" encoding="utf-8"?>
<ds:datastoreItem xmlns:ds="http://schemas.openxmlformats.org/officeDocument/2006/customXml" ds:itemID="{59383A46-E204-45E6-9CA6-8B263AAAAA6F}"/>
</file>

<file path=customXml/itemProps3.xml><?xml version="1.0" encoding="utf-8"?>
<ds:datastoreItem xmlns:ds="http://schemas.openxmlformats.org/officeDocument/2006/customXml" ds:itemID="{A853E749-82FA-4838-A960-C44D26FABCC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14</vt:i4>
      </vt:variant>
      <vt:variant>
        <vt:lpstr>Plages nommées</vt:lpstr>
      </vt:variant>
      <vt:variant>
        <vt:i4>17</vt:i4>
      </vt:variant>
    </vt:vector>
  </HeadingPairs>
  <TitlesOfParts>
    <vt:vector size="31" baseType="lpstr">
      <vt:lpstr>Introduction</vt:lpstr>
      <vt:lpstr>Données générales</vt:lpstr>
      <vt:lpstr>Données Territoire</vt:lpstr>
      <vt:lpstr>Résultats Territoire</vt:lpstr>
      <vt:lpstr>Méthodologie Territoire</vt:lpstr>
      <vt:lpstr>Données Administration</vt:lpstr>
      <vt:lpstr>Résultats Administration</vt:lpstr>
      <vt:lpstr>Consommation</vt:lpstr>
      <vt:lpstr>MRMT - Données</vt:lpstr>
      <vt:lpstr>Listes</vt:lpstr>
      <vt:lpstr>Energie</vt:lpstr>
      <vt:lpstr>Méthodologie Administration</vt:lpstr>
      <vt:lpstr>Facteurs d'émissions</vt:lpstr>
      <vt:lpstr>Données communales</vt:lpstr>
      <vt:lpstr>Année</vt:lpstr>
      <vt:lpstr>Commune</vt:lpstr>
      <vt:lpstr>Consommation_eaux_usées</vt:lpstr>
      <vt:lpstr>'Données communales'!Données_Commune</vt:lpstr>
      <vt:lpstr>Données_Commune</vt:lpstr>
      <vt:lpstr>'Facteurs d''émissions'!EF_Table</vt:lpstr>
      <vt:lpstr>EF_Table</vt:lpstr>
      <vt:lpstr>Employés_com</vt:lpstr>
      <vt:lpstr>Frontaliers</vt:lpstr>
      <vt:lpstr>hab_actifs</vt:lpstr>
      <vt:lpstr>hab_commune</vt:lpstr>
      <vt:lpstr>Hab_MRMT</vt:lpstr>
      <vt:lpstr>Numéro_OFS</vt:lpstr>
      <vt:lpstr>Pendulaires_CH</vt:lpstr>
      <vt:lpstr>population</vt:lpstr>
      <vt:lpstr>'Données communales'!surface_agri</vt:lpstr>
      <vt:lpstr>Typologie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Francine Pasquier</cp:lastModifiedBy>
  <dcterms:created xsi:type="dcterms:W3CDTF">2021-04-21T07:48:33Z</dcterms:created>
  <dcterms:modified xsi:type="dcterms:W3CDTF">2024-01-16T14:33:44Z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NXPowerLiteLastOptimized">
    <vt:lpwstr>577458</vt:lpwstr>
  </property>
  <property fmtid="{D5CDD505-2E9C-101B-9397-08002B2CF9AE}" pid="3" name="NXPowerLiteSettings">
    <vt:lpwstr>E700052003A000</vt:lpwstr>
  </property>
  <property fmtid="{D5CDD505-2E9C-101B-9397-08002B2CF9AE}" pid="4" name="NXPowerLiteVersion">
    <vt:lpwstr>D9.1.2</vt:lpwstr>
  </property>
  <property fmtid="{D5CDD505-2E9C-101B-9397-08002B2CF9AE}" pid="5" name="ContentTypeId">
    <vt:lpwstr>0x01010065F4E074010AB04BAE0CF44B33CC78B6</vt:lpwstr>
  </property>
</Properties>
</file>